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ramsak\Downloads\"/>
    </mc:Choice>
  </mc:AlternateContent>
  <bookViews>
    <workbookView xWindow="0" yWindow="0" windowWidth="28800" windowHeight="12300" activeTab="1"/>
  </bookViews>
  <sheets>
    <sheet name="README" sheetId="2" r:id="rId1"/>
    <sheet name="Inputs &amp; Basic KPIs" sheetId="3" r:id="rId2"/>
    <sheet name="Loan" sheetId="4" r:id="rId3"/>
    <sheet name="Cash Flow" sheetId="5" r:id="rId4"/>
    <sheet name="KPIs" sheetId="6" r:id="rId5"/>
    <sheet name="Charts" sheetId="1" r:id="rId6"/>
  </sheets>
  <definedNames>
    <definedName name="ADDITIONAL_CAPEX">'Inputs &amp; Basic KPIs'!$B$10</definedName>
    <definedName name="BIZ_GROWTH">'Inputs &amp; Basic KPIs'!$B$24</definedName>
    <definedName name="BIZ_REV_BASE">'Inputs &amp; Basic KPIs'!$B$23</definedName>
    <definedName name="DEPR_YEARS">'Inputs &amp; Basic KPIs'!$B$15</definedName>
    <definedName name="DISC_RATE">'Inputs &amp; Basic KPIs'!$B$6</definedName>
    <definedName name="GRACE_YEARS">'Inputs &amp; Basic KPIs'!$B$28</definedName>
    <definedName name="GRANT_ANNUAL">'Inputs &amp; Basic KPIs'!$B$18</definedName>
    <definedName name="GRANT_Y0">'Inputs &amp; Basic KPIs'!$B$17</definedName>
    <definedName name="INT_RATE">'Inputs &amp; Basic KPIs'!$B$26</definedName>
    <definedName name="LOAN_AMT">'Inputs &amp; Basic KPIs'!$B$25</definedName>
    <definedName name="LOAN_TERM">'Inputs &amp; Basic KPIs'!$B$27</definedName>
    <definedName name="MAINT_GROWTH">'Inputs &amp; Basic KPIs'!$B$12</definedName>
    <definedName name="MAINT_P_SQM">'Inputs &amp; Basic KPIs'!$B$11</definedName>
    <definedName name="N_YEARS">'Inputs &amp; Basic KPIs'!$B$4</definedName>
    <definedName name="OCC_DELTA">'Inputs &amp; Basic KPIs'!$B$21</definedName>
    <definedName name="OCC_RATE_BASE">'Inputs &amp; Basic KPIs'!$B$20</definedName>
    <definedName name="RECON_C_P_SQM">'Inputs &amp; Basic KPIs'!$B$9</definedName>
    <definedName name="RENT_GROWTH">'Inputs &amp; Basic KPIs'!$B$22</definedName>
    <definedName name="RENT_P_SQM_PM_BASE">'Inputs &amp; Basic KPIs'!$B$19</definedName>
    <definedName name="STAFF_BASE">'Inputs &amp; Basic KPIs'!$B$13</definedName>
    <definedName name="STAFF_GROWTH">'Inputs &amp; Basic KPIs'!$B$14</definedName>
    <definedName name="START_YEAR">'Inputs &amp; Basic KPIs'!$B$5</definedName>
    <definedName name="SURFACE">'Inputs &amp; Basic KPIs'!$B$8</definedName>
    <definedName name="TAX_RATE">'Inputs &amp; Basic KPIs'!$B$7</definedName>
    <definedName name="VALUE_P_SQM">'Inputs &amp; Basic KPIs'!$B$16</definedName>
  </definedNames>
  <calcPr calcId="162913"/>
</workbook>
</file>

<file path=xl/calcChain.xml><?xml version="1.0" encoding="utf-8"?>
<calcChain xmlns="http://schemas.openxmlformats.org/spreadsheetml/2006/main">
  <c r="E61" i="3" l="1"/>
  <c r="F58" i="3" s="1"/>
  <c r="C57" i="3"/>
  <c r="C58" i="3"/>
  <c r="C59" i="3"/>
  <c r="C60" i="3"/>
  <c r="C56" i="3"/>
  <c r="B51" i="3"/>
  <c r="B39" i="3"/>
  <c r="B38" i="3"/>
  <c r="B37" i="3"/>
  <c r="H41" i="3"/>
  <c r="H42" i="3"/>
  <c r="H43" i="3"/>
  <c r="H44" i="3"/>
  <c r="H40" i="3"/>
  <c r="E23" i="3"/>
  <c r="D23" i="3"/>
  <c r="E22" i="3"/>
  <c r="D22" i="3"/>
  <c r="I19" i="3"/>
  <c r="I18" i="3"/>
  <c r="I17" i="3"/>
  <c r="I6" i="3"/>
  <c r="I12" i="3"/>
  <c r="H29" i="3"/>
  <c r="H30" i="3"/>
  <c r="H31" i="3"/>
  <c r="H32" i="3"/>
  <c r="H28" i="3"/>
  <c r="F12" i="3"/>
  <c r="E13" i="3"/>
  <c r="F9" i="3"/>
  <c r="F10" i="3"/>
  <c r="F11" i="3"/>
  <c r="F8" i="3"/>
  <c r="I13" i="3"/>
  <c r="I11" i="3"/>
  <c r="K32" i="5"/>
  <c r="H32" i="5"/>
  <c r="G32" i="5"/>
  <c r="E32" i="5"/>
  <c r="D32" i="5"/>
  <c r="C32" i="5"/>
  <c r="B32" i="5"/>
  <c r="K31" i="5"/>
  <c r="H31" i="5"/>
  <c r="G31" i="5"/>
  <c r="E31" i="5"/>
  <c r="D31" i="5"/>
  <c r="C31" i="5"/>
  <c r="B31" i="5"/>
  <c r="K30" i="5"/>
  <c r="H30" i="5"/>
  <c r="G30" i="5"/>
  <c r="E30" i="5"/>
  <c r="D30" i="5"/>
  <c r="C30" i="5"/>
  <c r="B30" i="5"/>
  <c r="K29" i="5"/>
  <c r="H29" i="5"/>
  <c r="G29" i="5"/>
  <c r="E29" i="5"/>
  <c r="D29" i="5"/>
  <c r="C29" i="5"/>
  <c r="B29" i="5"/>
  <c r="K28" i="5"/>
  <c r="H28" i="5"/>
  <c r="G28" i="5"/>
  <c r="E28" i="5"/>
  <c r="D28" i="5"/>
  <c r="C28" i="5"/>
  <c r="B28" i="5"/>
  <c r="K27" i="5"/>
  <c r="H27" i="5"/>
  <c r="G27" i="5"/>
  <c r="E27" i="5"/>
  <c r="D27" i="5"/>
  <c r="C27" i="5"/>
  <c r="B27" i="5"/>
  <c r="K26" i="5"/>
  <c r="H26" i="5"/>
  <c r="G26" i="5"/>
  <c r="E26" i="5"/>
  <c r="D26" i="5"/>
  <c r="C26" i="5"/>
  <c r="B26" i="5"/>
  <c r="K25" i="5"/>
  <c r="H25" i="5"/>
  <c r="G25" i="5"/>
  <c r="E25" i="5"/>
  <c r="D25" i="5"/>
  <c r="C25" i="5"/>
  <c r="B25" i="5"/>
  <c r="K24" i="5"/>
  <c r="H24" i="5"/>
  <c r="G24" i="5"/>
  <c r="E24" i="5"/>
  <c r="D24" i="5"/>
  <c r="C24" i="5"/>
  <c r="B24" i="5"/>
  <c r="K23" i="5"/>
  <c r="H23" i="5"/>
  <c r="G23" i="5"/>
  <c r="E23" i="5"/>
  <c r="D23" i="5"/>
  <c r="C23" i="5"/>
  <c r="B23" i="5"/>
  <c r="K22" i="5"/>
  <c r="H22" i="5"/>
  <c r="G22" i="5"/>
  <c r="E22" i="5"/>
  <c r="D22" i="5"/>
  <c r="C22" i="5"/>
  <c r="B22" i="5"/>
  <c r="K21" i="5"/>
  <c r="H21" i="5"/>
  <c r="G21" i="5"/>
  <c r="E21" i="5"/>
  <c r="D21" i="5"/>
  <c r="C21" i="5"/>
  <c r="B21" i="5"/>
  <c r="K20" i="5"/>
  <c r="H20" i="5"/>
  <c r="G20" i="5"/>
  <c r="E20" i="5"/>
  <c r="D20" i="5"/>
  <c r="C20" i="5"/>
  <c r="B20" i="5"/>
  <c r="K19" i="5"/>
  <c r="H19" i="5"/>
  <c r="G19" i="5"/>
  <c r="E19" i="5"/>
  <c r="D19" i="5"/>
  <c r="C19" i="5"/>
  <c r="B19" i="5"/>
  <c r="K18" i="5"/>
  <c r="H18" i="5"/>
  <c r="G18" i="5"/>
  <c r="E18" i="5"/>
  <c r="D18" i="5"/>
  <c r="C18" i="5"/>
  <c r="B18" i="5"/>
  <c r="K17" i="5"/>
  <c r="H17" i="5"/>
  <c r="G17" i="5"/>
  <c r="E17" i="5"/>
  <c r="D17" i="5"/>
  <c r="C17" i="5"/>
  <c r="B17" i="5"/>
  <c r="K16" i="5"/>
  <c r="H16" i="5"/>
  <c r="G16" i="5"/>
  <c r="E16" i="5"/>
  <c r="D16" i="5"/>
  <c r="C16" i="5"/>
  <c r="B16" i="5"/>
  <c r="K15" i="5"/>
  <c r="H15" i="5"/>
  <c r="G15" i="5"/>
  <c r="E15" i="5"/>
  <c r="D15" i="5"/>
  <c r="C15" i="5"/>
  <c r="B15" i="5"/>
  <c r="K14" i="5"/>
  <c r="H14" i="5"/>
  <c r="G14" i="5"/>
  <c r="E14" i="5"/>
  <c r="D14" i="5"/>
  <c r="C14" i="5"/>
  <c r="B14" i="5"/>
  <c r="K13" i="5"/>
  <c r="H13" i="5"/>
  <c r="G13" i="5"/>
  <c r="E13" i="5"/>
  <c r="D13" i="5"/>
  <c r="C13" i="5"/>
  <c r="B13" i="5"/>
  <c r="K12" i="5"/>
  <c r="H12" i="5"/>
  <c r="G12" i="5"/>
  <c r="E12" i="5"/>
  <c r="D12" i="5"/>
  <c r="C12" i="5"/>
  <c r="B12" i="5"/>
  <c r="K11" i="5"/>
  <c r="H11" i="5"/>
  <c r="G11" i="5"/>
  <c r="E11" i="5"/>
  <c r="D11" i="5"/>
  <c r="C11" i="5"/>
  <c r="B11" i="5"/>
  <c r="K10" i="5"/>
  <c r="H10" i="5"/>
  <c r="G10" i="5"/>
  <c r="E10" i="5"/>
  <c r="D10" i="5"/>
  <c r="C10" i="5"/>
  <c r="B10" i="5"/>
  <c r="K9" i="5"/>
  <c r="H9" i="5"/>
  <c r="G9" i="5"/>
  <c r="E9" i="5"/>
  <c r="D9" i="5"/>
  <c r="C9" i="5"/>
  <c r="B9" i="5"/>
  <c r="K8" i="5"/>
  <c r="H8" i="5"/>
  <c r="G8" i="5"/>
  <c r="E8" i="5"/>
  <c r="D8" i="5"/>
  <c r="C8" i="5"/>
  <c r="B8" i="5"/>
  <c r="K7" i="5"/>
  <c r="H7" i="5"/>
  <c r="G7" i="5"/>
  <c r="E7" i="5"/>
  <c r="D7" i="5"/>
  <c r="C7" i="5"/>
  <c r="B7" i="5"/>
  <c r="K6" i="5"/>
  <c r="H6" i="5"/>
  <c r="G6" i="5"/>
  <c r="E6" i="5"/>
  <c r="D6" i="5"/>
  <c r="C6" i="5"/>
  <c r="B6" i="5"/>
  <c r="K5" i="5"/>
  <c r="H5" i="5"/>
  <c r="G5" i="5"/>
  <c r="E5" i="5"/>
  <c r="D5" i="5"/>
  <c r="C5" i="5"/>
  <c r="B5" i="5"/>
  <c r="K4" i="5"/>
  <c r="H4" i="5"/>
  <c r="G4" i="5"/>
  <c r="E4" i="5"/>
  <c r="D4" i="5"/>
  <c r="C4" i="5"/>
  <c r="B4" i="5"/>
  <c r="K3" i="5"/>
  <c r="H3" i="5"/>
  <c r="G3" i="5"/>
  <c r="E3" i="5"/>
  <c r="D3" i="5"/>
  <c r="C3" i="5"/>
  <c r="B3" i="5"/>
  <c r="Q2" i="5"/>
  <c r="P2" i="5"/>
  <c r="I2" i="5"/>
  <c r="C2" i="5"/>
  <c r="F2" i="5" s="1"/>
  <c r="B2" i="5"/>
  <c r="C32" i="4"/>
  <c r="C31" i="4"/>
  <c r="C30" i="4"/>
  <c r="C29" i="4"/>
  <c r="C28" i="4"/>
  <c r="C27" i="4"/>
  <c r="C26" i="4"/>
  <c r="C25" i="4"/>
  <c r="C24" i="4"/>
  <c r="C23" i="4"/>
  <c r="C22" i="4"/>
  <c r="C21" i="4"/>
  <c r="C20" i="4"/>
  <c r="C19" i="4"/>
  <c r="C18" i="4"/>
  <c r="C17" i="4"/>
  <c r="C16" i="4"/>
  <c r="C15" i="4"/>
  <c r="C14" i="4"/>
  <c r="C13" i="4"/>
  <c r="C12" i="4"/>
  <c r="C11" i="4"/>
  <c r="C10" i="4"/>
  <c r="C9" i="4"/>
  <c r="C8" i="4"/>
  <c r="C7" i="4"/>
  <c r="C6" i="4"/>
  <c r="C5" i="4"/>
  <c r="B3" i="4"/>
  <c r="C3" i="4" s="1"/>
  <c r="F2" i="4"/>
  <c r="E4" i="3"/>
  <c r="E5" i="3" s="1"/>
  <c r="B5" i="6" s="1"/>
  <c r="E3" i="3"/>
  <c r="F59" i="3" l="1"/>
  <c r="F57" i="3"/>
  <c r="F56" i="3"/>
  <c r="F60" i="3"/>
  <c r="B52" i="3"/>
  <c r="E24" i="3"/>
  <c r="J2" i="5"/>
  <c r="R2" i="5" s="1"/>
  <c r="S2" i="5" s="1"/>
  <c r="T2" i="5" s="1"/>
  <c r="I3" i="5"/>
  <c r="F5" i="5"/>
  <c r="F13" i="3"/>
  <c r="F9" i="5"/>
  <c r="I12" i="5"/>
  <c r="F17" i="5"/>
  <c r="I20" i="5"/>
  <c r="F25" i="5"/>
  <c r="I28" i="5"/>
  <c r="F6" i="5"/>
  <c r="I9" i="5"/>
  <c r="F14" i="5"/>
  <c r="I17" i="5"/>
  <c r="F29" i="5"/>
  <c r="I31" i="5"/>
  <c r="I30" i="5"/>
  <c r="I27" i="5"/>
  <c r="F22" i="5"/>
  <c r="I4" i="5"/>
  <c r="I5" i="5"/>
  <c r="F10" i="5"/>
  <c r="I13" i="5"/>
  <c r="F18" i="5"/>
  <c r="I21" i="5"/>
  <c r="F26" i="5"/>
  <c r="I29" i="5"/>
  <c r="F7" i="5"/>
  <c r="I10" i="5"/>
  <c r="F15" i="5"/>
  <c r="I18" i="5"/>
  <c r="I19" i="5"/>
  <c r="F23" i="5"/>
  <c r="I25" i="5"/>
  <c r="F32" i="5"/>
  <c r="I8" i="5"/>
  <c r="I16" i="5"/>
  <c r="I24" i="5"/>
  <c r="F30" i="5"/>
  <c r="F31" i="5"/>
  <c r="I32" i="5"/>
  <c r="F28" i="5"/>
  <c r="I14" i="3"/>
  <c r="I15" i="3" s="1"/>
  <c r="F8" i="5"/>
  <c r="I11" i="5"/>
  <c r="F16" i="5"/>
  <c r="F24" i="5"/>
  <c r="B10" i="6"/>
  <c r="I26" i="5"/>
  <c r="F4" i="5"/>
  <c r="F13" i="5"/>
  <c r="F21" i="5"/>
  <c r="F3" i="5"/>
  <c r="I7" i="5"/>
  <c r="F12" i="5"/>
  <c r="I15" i="5"/>
  <c r="F20" i="5"/>
  <c r="I23" i="5"/>
  <c r="I6" i="5"/>
  <c r="F11" i="5"/>
  <c r="I14" i="5"/>
  <c r="F19" i="5"/>
  <c r="I22" i="5"/>
  <c r="F27" i="5"/>
  <c r="D3" i="4"/>
  <c r="J3" i="5" l="1"/>
  <c r="L3" i="5" s="1"/>
  <c r="J5" i="5"/>
  <c r="C47" i="3"/>
  <c r="C48" i="3"/>
  <c r="C49" i="3"/>
  <c r="C50" i="3"/>
  <c r="C46" i="3"/>
  <c r="C51" i="3"/>
  <c r="J13" i="5"/>
  <c r="L13" i="5" s="1"/>
  <c r="J18" i="5"/>
  <c r="L18" i="5" s="1"/>
  <c r="J25" i="5"/>
  <c r="L25" i="5" s="1"/>
  <c r="J17" i="5"/>
  <c r="L17" i="5" s="1"/>
  <c r="J23" i="5"/>
  <c r="L23" i="5" s="1"/>
  <c r="J11" i="5"/>
  <c r="L11" i="5" s="1"/>
  <c r="J15" i="5"/>
  <c r="L15" i="5" s="1"/>
  <c r="J4" i="5"/>
  <c r="L4" i="5" s="1"/>
  <c r="J28" i="5"/>
  <c r="J30" i="5"/>
  <c r="L30" i="5" s="1"/>
  <c r="J6" i="5"/>
  <c r="L6" i="5" s="1"/>
  <c r="J27" i="5"/>
  <c r="L27" i="5" s="1"/>
  <c r="J29" i="5"/>
  <c r="L29" i="5" s="1"/>
  <c r="J10" i="5"/>
  <c r="L10" i="5" s="1"/>
  <c r="J9" i="5"/>
  <c r="L9" i="5" s="1"/>
  <c r="J22" i="5"/>
  <c r="L22" i="5" s="1"/>
  <c r="J12" i="5"/>
  <c r="L12" i="5" s="1"/>
  <c r="J19" i="5"/>
  <c r="L19" i="5" s="1"/>
  <c r="J14" i="5"/>
  <c r="L14" i="5" s="1"/>
  <c r="J21" i="5"/>
  <c r="L21" i="5" s="1"/>
  <c r="J20" i="5"/>
  <c r="L20" i="5" s="1"/>
  <c r="J26" i="5"/>
  <c r="L26" i="5" s="1"/>
  <c r="J24" i="5"/>
  <c r="L24" i="5" s="1"/>
  <c r="J31" i="5"/>
  <c r="L31" i="5" s="1"/>
  <c r="J16" i="5"/>
  <c r="L16" i="5" s="1"/>
  <c r="I16" i="3"/>
  <c r="I20" i="3"/>
  <c r="J7" i="5"/>
  <c r="L7" i="5" s="1"/>
  <c r="J32" i="5"/>
  <c r="L32" i="5" s="1"/>
  <c r="J8" i="5"/>
  <c r="L8" i="5" s="1"/>
  <c r="E3" i="4"/>
  <c r="M3" i="5"/>
  <c r="L28" i="5"/>
  <c r="L5" i="5"/>
  <c r="I5" i="3" l="1"/>
  <c r="E25" i="3"/>
  <c r="E26" i="3" s="1"/>
  <c r="I24" i="3"/>
  <c r="I25" i="3" s="1"/>
  <c r="I26" i="3" s="1"/>
  <c r="I21" i="3"/>
  <c r="I22" i="3" s="1"/>
  <c r="F3" i="4"/>
  <c r="N3" i="5"/>
  <c r="R3" i="5" s="1"/>
  <c r="I36" i="3" l="1"/>
  <c r="I38" i="3" s="1"/>
  <c r="I41" i="3" s="1"/>
  <c r="E27" i="3"/>
  <c r="I7" i="3"/>
  <c r="B36" i="3"/>
  <c r="B40" i="3" s="1"/>
  <c r="I29" i="3"/>
  <c r="I30" i="3"/>
  <c r="I31" i="3"/>
  <c r="I32" i="3"/>
  <c r="I28" i="3"/>
  <c r="O3" i="5"/>
  <c r="U3" i="5" s="1"/>
  <c r="B4" i="4"/>
  <c r="S3" i="5"/>
  <c r="I40" i="3" l="1"/>
  <c r="I44" i="3"/>
  <c r="I42" i="3"/>
  <c r="I43" i="3"/>
  <c r="I33" i="3"/>
  <c r="C4" i="4"/>
  <c r="D4" i="4"/>
  <c r="M4" i="5" s="1"/>
  <c r="T3" i="5"/>
  <c r="I45" i="3" l="1"/>
  <c r="E4" i="4"/>
  <c r="F4" i="4" l="1"/>
  <c r="N4" i="5"/>
  <c r="B5" i="4" l="1"/>
  <c r="O4" i="5"/>
  <c r="U4" i="5" s="1"/>
  <c r="R4" i="5"/>
  <c r="D5" i="4" l="1"/>
  <c r="S4" i="5"/>
  <c r="E5" i="4" l="1"/>
  <c r="M5" i="5"/>
  <c r="T4" i="5"/>
  <c r="F5" i="4" l="1"/>
  <c r="N5" i="5"/>
  <c r="R5" i="5" s="1"/>
  <c r="O5" i="5" l="1"/>
  <c r="U5" i="5" s="1"/>
  <c r="B6" i="4"/>
  <c r="S5" i="5"/>
  <c r="D6" i="4" l="1"/>
  <c r="T5" i="5"/>
  <c r="E6" i="4" l="1"/>
  <c r="M6" i="5"/>
  <c r="F6" i="4" l="1"/>
  <c r="N6" i="5"/>
  <c r="O6" i="5" s="1"/>
  <c r="U6" i="5" s="1"/>
  <c r="R6" i="5" l="1"/>
  <c r="S6" i="5" s="1"/>
  <c r="T6" i="5" s="1"/>
  <c r="B7" i="4"/>
  <c r="D7" i="4" l="1"/>
  <c r="E7" i="4" l="1"/>
  <c r="M7" i="5"/>
  <c r="F7" i="4" l="1"/>
  <c r="B8" i="4" s="1"/>
  <c r="N7" i="5"/>
  <c r="O7" i="5" s="1"/>
  <c r="U7" i="5" s="1"/>
  <c r="R7" i="5" l="1"/>
  <c r="S7" i="5" s="1"/>
  <c r="T7" i="5" s="1"/>
  <c r="D8" i="4"/>
  <c r="E8" i="4" l="1"/>
  <c r="M8" i="5"/>
  <c r="F8" i="4" l="1"/>
  <c r="B9" i="4" s="1"/>
  <c r="N8" i="5"/>
  <c r="O8" i="5" s="1"/>
  <c r="U8" i="5" s="1"/>
  <c r="R8" i="5" l="1"/>
  <c r="S8" i="5" s="1"/>
  <c r="T8" i="5" s="1"/>
  <c r="D9" i="4"/>
  <c r="E9" i="4" l="1"/>
  <c r="M9" i="5"/>
  <c r="F9" i="4" l="1"/>
  <c r="B10" i="4" s="1"/>
  <c r="N9" i="5"/>
  <c r="O9" i="5" s="1"/>
  <c r="U9" i="5" s="1"/>
  <c r="R9" i="5" l="1"/>
  <c r="S9" i="5" s="1"/>
  <c r="T9" i="5" s="1"/>
  <c r="D10" i="4"/>
  <c r="E10" i="4" l="1"/>
  <c r="M10" i="5"/>
  <c r="F10" i="4" l="1"/>
  <c r="B11" i="4" s="1"/>
  <c r="N10" i="5"/>
  <c r="D11" i="4" l="1"/>
  <c r="O10" i="5"/>
  <c r="U10" i="5" s="1"/>
  <c r="R10" i="5"/>
  <c r="S10" i="5" s="1"/>
  <c r="T10" i="5" s="1"/>
  <c r="E11" i="4" l="1"/>
  <c r="M11" i="5"/>
  <c r="F11" i="4" l="1"/>
  <c r="B12" i="4" s="1"/>
  <c r="N11" i="5"/>
  <c r="D12" i="4" l="1"/>
  <c r="R11" i="5"/>
  <c r="S11" i="5" s="1"/>
  <c r="T11" i="5" s="1"/>
  <c r="O11" i="5"/>
  <c r="U11" i="5" s="1"/>
  <c r="E12" i="4" l="1"/>
  <c r="M12" i="5"/>
  <c r="F12" i="4" l="1"/>
  <c r="B13" i="4" s="1"/>
  <c r="N12" i="5"/>
  <c r="R12" i="5" s="1"/>
  <c r="S12" i="5" s="1"/>
  <c r="T12" i="5" s="1"/>
  <c r="O12" i="5" l="1"/>
  <c r="U12" i="5" s="1"/>
  <c r="D13" i="4"/>
  <c r="E13" i="4" l="1"/>
  <c r="M13" i="5"/>
  <c r="F13" i="4" l="1"/>
  <c r="B14" i="4" s="1"/>
  <c r="N13" i="5"/>
  <c r="R13" i="5" s="1"/>
  <c r="S13" i="5" s="1"/>
  <c r="T13" i="5" s="1"/>
  <c r="O13" i="5" l="1"/>
  <c r="U13" i="5" s="1"/>
  <c r="D14" i="4"/>
  <c r="E14" i="4" l="1"/>
  <c r="M14" i="5"/>
  <c r="F14" i="4" l="1"/>
  <c r="B15" i="4" s="1"/>
  <c r="N14" i="5"/>
  <c r="R14" i="5" s="1"/>
  <c r="S14" i="5" s="1"/>
  <c r="T14" i="5" s="1"/>
  <c r="O14" i="5" l="1"/>
  <c r="U14" i="5" s="1"/>
  <c r="D15" i="4"/>
  <c r="E15" i="4" l="1"/>
  <c r="M15" i="5"/>
  <c r="F15" i="4" l="1"/>
  <c r="B16" i="4" s="1"/>
  <c r="N15" i="5"/>
  <c r="D16" i="4" l="1"/>
  <c r="O15" i="5"/>
  <c r="U15" i="5" s="1"/>
  <c r="R15" i="5"/>
  <c r="S15" i="5" s="1"/>
  <c r="T15" i="5" s="1"/>
  <c r="E16" i="4" l="1"/>
  <c r="M16" i="5"/>
  <c r="F16" i="4" l="1"/>
  <c r="B17" i="4" s="1"/>
  <c r="N16" i="5"/>
  <c r="D17" i="4" l="1"/>
  <c r="O16" i="5"/>
  <c r="U16" i="5" s="1"/>
  <c r="R16" i="5"/>
  <c r="S16" i="5" s="1"/>
  <c r="T16" i="5" s="1"/>
  <c r="E17" i="4" l="1"/>
  <c r="M17" i="5"/>
  <c r="F17" i="4" l="1"/>
  <c r="B18" i="4" s="1"/>
  <c r="N17" i="5"/>
  <c r="D18" i="4" l="1"/>
  <c r="O17" i="5"/>
  <c r="U17" i="5" s="1"/>
  <c r="R17" i="5"/>
  <c r="S17" i="5" s="1"/>
  <c r="T17" i="5" s="1"/>
  <c r="E18" i="4" l="1"/>
  <c r="M18" i="5"/>
  <c r="F18" i="4" l="1"/>
  <c r="B19" i="4" s="1"/>
  <c r="N18" i="5"/>
  <c r="O18" i="5" s="1"/>
  <c r="U18" i="5" s="1"/>
  <c r="R18" i="5" l="1"/>
  <c r="S18" i="5" s="1"/>
  <c r="T18" i="5" s="1"/>
  <c r="D19" i="4"/>
  <c r="E19" i="4" l="1"/>
  <c r="M19" i="5"/>
  <c r="F19" i="4" l="1"/>
  <c r="B20" i="4" s="1"/>
  <c r="N19" i="5"/>
  <c r="D20" i="4" l="1"/>
  <c r="O19" i="5"/>
  <c r="U19" i="5" s="1"/>
  <c r="R19" i="5"/>
  <c r="S19" i="5" s="1"/>
  <c r="T19" i="5" s="1"/>
  <c r="E20" i="4" l="1"/>
  <c r="M20" i="5"/>
  <c r="F20" i="4" l="1"/>
  <c r="B21" i="4" s="1"/>
  <c r="N20" i="5"/>
  <c r="O20" i="5" s="1"/>
  <c r="U20" i="5" s="1"/>
  <c r="R20" i="5" l="1"/>
  <c r="S20" i="5" s="1"/>
  <c r="T20" i="5" s="1"/>
  <c r="D21" i="4"/>
  <c r="E21" i="4" l="1"/>
  <c r="M21" i="5"/>
  <c r="F21" i="4" l="1"/>
  <c r="B22" i="4" s="1"/>
  <c r="N21" i="5"/>
  <c r="D22" i="4" l="1"/>
  <c r="R21" i="5"/>
  <c r="S21" i="5" s="1"/>
  <c r="T21" i="5" s="1"/>
  <c r="O21" i="5"/>
  <c r="U21" i="5" s="1"/>
  <c r="E22" i="4" l="1"/>
  <c r="M22" i="5"/>
  <c r="F22" i="4" l="1"/>
  <c r="B23" i="4" s="1"/>
  <c r="N22" i="5"/>
  <c r="R22" i="5" s="1"/>
  <c r="S22" i="5" s="1"/>
  <c r="T22" i="5" s="1"/>
  <c r="O22" i="5" l="1"/>
  <c r="U22" i="5" s="1"/>
  <c r="D23" i="4"/>
  <c r="E23" i="4" l="1"/>
  <c r="M23" i="5"/>
  <c r="F23" i="4" l="1"/>
  <c r="B24" i="4" s="1"/>
  <c r="N23" i="5"/>
  <c r="D24" i="4" l="1"/>
  <c r="O23" i="5"/>
  <c r="U23" i="5" s="1"/>
  <c r="R23" i="5"/>
  <c r="S23" i="5" s="1"/>
  <c r="T23" i="5" s="1"/>
  <c r="E24" i="4" l="1"/>
  <c r="M24" i="5"/>
  <c r="F24" i="4" l="1"/>
  <c r="B25" i="4" s="1"/>
  <c r="N24" i="5"/>
  <c r="D25" i="4" l="1"/>
  <c r="O24" i="5"/>
  <c r="U24" i="5" s="1"/>
  <c r="R24" i="5"/>
  <c r="S24" i="5" s="1"/>
  <c r="T24" i="5" s="1"/>
  <c r="E25" i="4" l="1"/>
  <c r="M25" i="5"/>
  <c r="F25" i="4" l="1"/>
  <c r="B26" i="4" s="1"/>
  <c r="N25" i="5"/>
  <c r="R25" i="5" s="1"/>
  <c r="S25" i="5" s="1"/>
  <c r="T25" i="5" s="1"/>
  <c r="O25" i="5" l="1"/>
  <c r="U25" i="5" s="1"/>
  <c r="D26" i="4"/>
  <c r="E26" i="4" l="1"/>
  <c r="M26" i="5"/>
  <c r="F26" i="4" l="1"/>
  <c r="B27" i="4" s="1"/>
  <c r="N26" i="5"/>
  <c r="R26" i="5" s="1"/>
  <c r="S26" i="5" s="1"/>
  <c r="T26" i="5" s="1"/>
  <c r="O26" i="5" l="1"/>
  <c r="U26" i="5" s="1"/>
  <c r="D27" i="4"/>
  <c r="E27" i="4" l="1"/>
  <c r="M27" i="5"/>
  <c r="F27" i="4" l="1"/>
  <c r="B28" i="4" s="1"/>
  <c r="N27" i="5"/>
  <c r="O27" i="5" s="1"/>
  <c r="U27" i="5" s="1"/>
  <c r="R27" i="5" l="1"/>
  <c r="S27" i="5" s="1"/>
  <c r="T27" i="5" s="1"/>
  <c r="D28" i="4"/>
  <c r="E28" i="4" l="1"/>
  <c r="M28" i="5"/>
  <c r="F28" i="4" l="1"/>
  <c r="B29" i="4" s="1"/>
  <c r="N28" i="5"/>
  <c r="D29" i="4" l="1"/>
  <c r="O28" i="5"/>
  <c r="U28" i="5" s="1"/>
  <c r="R28" i="5"/>
  <c r="S28" i="5" s="1"/>
  <c r="T28" i="5" s="1"/>
  <c r="E29" i="4" l="1"/>
  <c r="M29" i="5"/>
  <c r="F29" i="4" l="1"/>
  <c r="B30" i="4" s="1"/>
  <c r="N29" i="5"/>
  <c r="O29" i="5" s="1"/>
  <c r="U29" i="5" s="1"/>
  <c r="R29" i="5" l="1"/>
  <c r="S29" i="5" s="1"/>
  <c r="T29" i="5" s="1"/>
  <c r="D30" i="4"/>
  <c r="E30" i="4" l="1"/>
  <c r="M30" i="5"/>
  <c r="F30" i="4" l="1"/>
  <c r="B31" i="4" s="1"/>
  <c r="N30" i="5"/>
  <c r="O30" i="5" s="1"/>
  <c r="U30" i="5" s="1"/>
  <c r="R30" i="5" l="1"/>
  <c r="S30" i="5" s="1"/>
  <c r="T30" i="5" s="1"/>
  <c r="D31" i="4"/>
  <c r="E31" i="4" l="1"/>
  <c r="M31" i="5"/>
  <c r="F31" i="4" l="1"/>
  <c r="B32" i="4" s="1"/>
  <c r="N31" i="5"/>
  <c r="R31" i="5" s="1"/>
  <c r="S31" i="5" s="1"/>
  <c r="T31" i="5" s="1"/>
  <c r="O31" i="5" l="1"/>
  <c r="U31" i="5" s="1"/>
  <c r="D32" i="4"/>
  <c r="E32" i="4" l="1"/>
  <c r="M32" i="5"/>
  <c r="F32" i="4" l="1"/>
  <c r="H2" i="4" s="1"/>
  <c r="B4" i="6" s="1"/>
  <c r="N32" i="5"/>
  <c r="R32" i="5" l="1"/>
  <c r="O32" i="5"/>
  <c r="U32" i="5" s="1"/>
  <c r="B7" i="6" s="1"/>
  <c r="S32" i="5" l="1"/>
  <c r="B12" i="6"/>
  <c r="T32" i="5" l="1"/>
  <c r="B11" i="6" s="1"/>
  <c r="B8" i="6"/>
  <c r="B9" i="6"/>
</calcChain>
</file>

<file path=xl/sharedStrings.xml><?xml version="1.0" encoding="utf-8"?>
<sst xmlns="http://schemas.openxmlformats.org/spreadsheetml/2006/main" count="184" uniqueCount="176">
  <si>
    <t>Renovation Viability – Charts</t>
  </si>
  <si>
    <t>Assumptions &amp; conventions</t>
  </si>
  <si>
    <t>- Timeline is annual up to 30 years. Grace period is interest-only.</t>
  </si>
  <si>
    <t>- CapEx occurs at Year 0. Grants are received in Year 0 (you can set to 0).</t>
  </si>
  <si>
    <t>- Rents are per sqm per month; we apply occupancy and annual rent growth.</t>
  </si>
  <si>
    <t>- Maintenance is per sqm per year; staff costs and business revenues can grow annually.</t>
  </si>
  <si>
    <t>- Depreciation is straight-line; taxes default to 0% (adjust in Inputs).</t>
  </si>
  <si>
    <t>Project &amp; Economic Inputs</t>
  </si>
  <si>
    <t>Derived / Checks</t>
  </si>
  <si>
    <t>Project years (&lt;=30)</t>
  </si>
  <si>
    <t>Total CapEx (Year 0)</t>
  </si>
  <si>
    <t>Start year (calendar)</t>
  </si>
  <si>
    <t>Post-renovation Market Value</t>
  </si>
  <si>
    <t>Discount rate (NPV)</t>
  </si>
  <si>
    <t>Initial LTV</t>
  </si>
  <si>
    <t>Tax rate on profit</t>
  </si>
  <si>
    <t>Additional CapEx (year 0)</t>
  </si>
  <si>
    <t>Maintenance cost per sqm/year</t>
  </si>
  <si>
    <t>Maintenance cost annual growth</t>
  </si>
  <si>
    <t>Staff costs (year 1)</t>
  </si>
  <si>
    <t>Staff costs annual growth</t>
  </si>
  <si>
    <t>Depreciation period (years)</t>
  </si>
  <si>
    <t>Grant amount (year 0)</t>
  </si>
  <si>
    <t>Annual grant (years 1+)</t>
  </si>
  <si>
    <t>Rent per sqm per month (year 1)</t>
  </si>
  <si>
    <t>Occupancy rate (year 1)</t>
  </si>
  <si>
    <t>Occupancy annual change (pp)</t>
  </si>
  <si>
    <t>Rent annual growth</t>
  </si>
  <si>
    <t>Business revenue (year 1)</t>
  </si>
  <si>
    <t>Business revenue annual growth</t>
  </si>
  <si>
    <t>Loan amount</t>
  </si>
  <si>
    <t>Interest rate (annual)</t>
  </si>
  <si>
    <t>Loan term (years)</t>
  </si>
  <si>
    <t>Grace period (years, interest-only)</t>
  </si>
  <si>
    <t>Year</t>
  </si>
  <si>
    <t>Opening Balance</t>
  </si>
  <si>
    <t>Payment</t>
  </si>
  <si>
    <t>Interest</t>
  </si>
  <si>
    <t>Principal</t>
  </si>
  <si>
    <t>Closing Balance</t>
  </si>
  <si>
    <t>Debt fully repaid in year:</t>
  </si>
  <si>
    <t>Calendar Year</t>
  </si>
  <si>
    <t>Grants</t>
  </si>
  <si>
    <t>Rent Revenue</t>
  </si>
  <si>
    <t>Business Revenue</t>
  </si>
  <si>
    <t>Total Revenue</t>
  </si>
  <si>
    <t>Maintenance</t>
  </si>
  <si>
    <t>Staff</t>
  </si>
  <si>
    <t>Total Opex</t>
  </si>
  <si>
    <t>NOI</t>
  </si>
  <si>
    <t>Depreciation</t>
  </si>
  <si>
    <t>EBIT</t>
  </si>
  <si>
    <t>Debt Service</t>
  </si>
  <si>
    <t>CapEx</t>
  </si>
  <si>
    <t>Loan Proceeds</t>
  </si>
  <si>
    <t>Net Cash After Debt</t>
  </si>
  <si>
    <t>Equity CF</t>
  </si>
  <si>
    <t>Cumulative Equity CF</t>
  </si>
  <si>
    <t>DSCR</t>
  </si>
  <si>
    <t>Key Performance Indicators</t>
  </si>
  <si>
    <t>Debt fully repaid (year)</t>
  </si>
  <si>
    <t>Initial LTV (Loan / Value)</t>
  </si>
  <si>
    <t>Min DSCR (years 1..N)</t>
  </si>
  <si>
    <t>Years with DSCR &lt; 1.00</t>
  </si>
  <si>
    <t>NPV of Equity CFs</t>
  </si>
  <si>
    <t>IRR of Equity CFs</t>
  </si>
  <si>
    <t>Equity invested (Year 0)</t>
  </si>
  <si>
    <t>Payback year (first year cumulative equity &gt;= 0)</t>
  </si>
  <si>
    <t>Annual positive cash flow years (count)</t>
  </si>
  <si>
    <t>Notes</t>
  </si>
  <si>
    <t>NPV/IRR are on Equity cash flows; taxes are ignored unless you set a tax rate.</t>
  </si>
  <si>
    <t>Min DSCR &lt; 1 indicates potential refinancing or covenant risks.</t>
  </si>
  <si>
    <t>Total Loan Refinancing</t>
  </si>
  <si>
    <t>Reserve fund per m2</t>
  </si>
  <si>
    <t>Store</t>
  </si>
  <si>
    <t>Cultural center</t>
  </si>
  <si>
    <t>Coworking area</t>
  </si>
  <si>
    <t>%</t>
  </si>
  <si>
    <t>m2</t>
  </si>
  <si>
    <t>Appartments</t>
  </si>
  <si>
    <t>Monthly Rent Calculation for:</t>
  </si>
  <si>
    <t>Other</t>
  </si>
  <si>
    <t>Monthly Rent with Reserve Fund per m2 (NTP)</t>
  </si>
  <si>
    <t>P = principal</t>
  </si>
  <si>
    <t>r = Interest Rate/month</t>
  </si>
  <si>
    <t>n = months for repayment</t>
  </si>
  <si>
    <t>Monthly Loan Repayment - P*((r*(1+r)^n)/((1+r)^n-1))</t>
  </si>
  <si>
    <t>Annual Repayment</t>
  </si>
  <si>
    <t>Annual Management Costs</t>
  </si>
  <si>
    <t>Annual Maintenance Cost</t>
  </si>
  <si>
    <t>Anual Insurance Cost</t>
  </si>
  <si>
    <t>Annual Rent</t>
  </si>
  <si>
    <t>Annual Rent per m2 (NTP)</t>
  </si>
  <si>
    <t>Monthly Rent per m2 (NTP)</t>
  </si>
  <si>
    <t>Annual Rent with Reserve Fund</t>
  </si>
  <si>
    <t>Annual Rent with Reserve Fund per m2 (NTP)</t>
  </si>
  <si>
    <t>Total Investment Cost (Building+Renovation+Financing)</t>
  </si>
  <si>
    <t>To Sell For</t>
  </si>
  <si>
    <t>Profit/Loss</t>
  </si>
  <si>
    <t>Renovate &amp; Sell Model</t>
  </si>
  <si>
    <t>Building Cost</t>
  </si>
  <si>
    <t>Financing Cost</t>
  </si>
  <si>
    <t>Total Inv. Cost</t>
  </si>
  <si>
    <t xml:space="preserve">Monthly Rent Including Building Costs per m2 </t>
  </si>
  <si>
    <t>Expected Margin</t>
  </si>
  <si>
    <t>Monthly For Profit Rent Calculation for:</t>
  </si>
  <si>
    <t>For Profit Rent</t>
  </si>
  <si>
    <t>Renovate &amp; Rent Out Model (Cost Based Rent)</t>
  </si>
  <si>
    <t>Renovate &amp; Rent Out Model (For Profit Rent)</t>
  </si>
  <si>
    <t>Total Investment Required EUR</t>
  </si>
  <si>
    <t>Estimated Annual Operating Costs €/year</t>
  </si>
  <si>
    <t>Insert to Business Template: "Table 2: Financial Summary"</t>
  </si>
  <si>
    <t>Interior Renovation</t>
  </si>
  <si>
    <t>% of Total</t>
  </si>
  <si>
    <t>Indicator</t>
  </si>
  <si>
    <t xml:space="preserve">Amount (in EUR) </t>
  </si>
  <si>
    <t>Utilities &amp; Infrastructure</t>
  </si>
  <si>
    <t>Commercial Fitout/Equipment</t>
  </si>
  <si>
    <t>Design &amp; Permits</t>
  </si>
  <si>
    <t xml:space="preserve">Contingency (10%) </t>
  </si>
  <si>
    <t>Structural &amp; Building Envelope</t>
  </si>
  <si>
    <t>Monthly For Profit Rent Total</t>
  </si>
  <si>
    <t>Cost per m² (EUR/ m²)</t>
  </si>
  <si>
    <t>Annual Income Potential (EUR/year)</t>
  </si>
  <si>
    <t>EUR</t>
  </si>
  <si>
    <t>Value</t>
  </si>
  <si>
    <t>EU funds</t>
  </si>
  <si>
    <t>Building Works</t>
  </si>
  <si>
    <t>National/Regional programmes</t>
  </si>
  <si>
    <t>Utilities / Energy</t>
  </si>
  <si>
    <t>Municipal budget</t>
  </si>
  <si>
    <t>Accessibility features</t>
  </si>
  <si>
    <t>NGO/Donations</t>
  </si>
  <si>
    <t>Fees and permits</t>
  </si>
  <si>
    <t>Contingency</t>
  </si>
  <si>
    <t>Total sources</t>
  </si>
  <si>
    <t>Total uses</t>
  </si>
  <si>
    <t xml:space="preserve">Commercial Business Model Template: Table 3: Investment breakdown </t>
  </si>
  <si>
    <r>
      <t xml:space="preserve">Residential &amp; Public Business Model Template: </t>
    </r>
    <r>
      <rPr>
        <b/>
        <sz val="11"/>
        <color theme="1"/>
        <rFont val="Calibri"/>
        <family val="2"/>
        <scheme val="minor"/>
      </rPr>
      <t>Table 3/Table 4: Financial Summary from the RurALL Business Model Financial Tool</t>
    </r>
  </si>
  <si>
    <t>Net Municipal Support (if) Needed (EUR/year)</t>
  </si>
  <si>
    <t>Payback Period (in years)</t>
  </si>
  <si>
    <t>At minimum, fill in the blue categories to get basic calculations, while you can leave the rest of the categories as they are. However, if you have data available, customize all categories below in order to get most precise data.</t>
  </si>
  <si>
    <t>By adding non-refundable grants, you can significantly reduce investment costs.</t>
  </si>
  <si>
    <t>Compare your estimate with the two models on the left</t>
  </si>
  <si>
    <r>
      <rPr>
        <b/>
        <sz val="11"/>
        <color theme="1"/>
        <rFont val="Calibri"/>
        <family val="2"/>
        <scheme val="minor"/>
      </rPr>
      <t>1. README</t>
    </r>
    <r>
      <rPr>
        <sz val="11"/>
        <color theme="1"/>
        <rFont val="Calibri"/>
        <family val="2"/>
        <scheme val="minor"/>
      </rPr>
      <t xml:space="preserve">
Provides an overview of the tool, instructions for use, and a basic glossary.
Start here before entering any data.
</t>
    </r>
    <r>
      <rPr>
        <b/>
        <sz val="11"/>
        <color theme="1"/>
        <rFont val="Calibri"/>
        <family val="2"/>
        <scheme val="minor"/>
      </rPr>
      <t>2. Inputs &amp; Basic KPIs</t>
    </r>
    <r>
      <rPr>
        <sz val="11"/>
        <color theme="1"/>
        <rFont val="Calibri"/>
        <family val="2"/>
        <scheme val="minor"/>
      </rPr>
      <t xml:space="preserve">
The main user input section.
Enter basic building, renovation, financing, and operational assumptions.
Automatically calculates key indicators needed for the Business Model Template.
</t>
    </r>
    <r>
      <rPr>
        <b/>
        <sz val="11"/>
        <color theme="1"/>
        <rFont val="Calibri"/>
        <family val="2"/>
        <scheme val="minor"/>
      </rPr>
      <t>3. Loan</t>
    </r>
    <r>
      <rPr>
        <sz val="11"/>
        <color theme="1"/>
        <rFont val="Calibri"/>
        <family val="2"/>
        <scheme val="minor"/>
      </rPr>
      <t xml:space="preserve">
Generates a detailed loan repayment schedule based on the financing inputs.
Useful for advanced financial planning.
</t>
    </r>
    <r>
      <rPr>
        <b/>
        <sz val="11"/>
        <color theme="1"/>
        <rFont val="Calibri"/>
        <family val="2"/>
        <scheme val="minor"/>
      </rPr>
      <t>4. Cash Flow</t>
    </r>
    <r>
      <rPr>
        <sz val="11"/>
        <color theme="1"/>
        <rFont val="Calibri"/>
        <family val="2"/>
        <scheme val="minor"/>
      </rPr>
      <t xml:space="preserve">
Shows annual project cash flows, including investment, operating costs, savings, revenues, and debt service.
Supports deeper financial assessment.
</t>
    </r>
    <r>
      <rPr>
        <b/>
        <sz val="11"/>
        <color theme="1"/>
        <rFont val="Calibri"/>
        <family val="2"/>
        <scheme val="minor"/>
      </rPr>
      <t>5. KPIs</t>
    </r>
    <r>
      <rPr>
        <sz val="11"/>
        <color theme="1"/>
        <rFont val="Calibri"/>
        <family val="2"/>
        <scheme val="minor"/>
      </rPr>
      <t xml:space="preserve">
Calculates advanced financial indicators (NPV, IRR, DSCR, payback, etc.) based on cash flow results.
Intended for users performing full feasibility analyses.
</t>
    </r>
    <r>
      <rPr>
        <b/>
        <sz val="11"/>
        <color theme="1"/>
        <rFont val="Calibri"/>
        <family val="2"/>
        <scheme val="minor"/>
      </rPr>
      <t>6. Charts</t>
    </r>
    <r>
      <rPr>
        <sz val="11"/>
        <color theme="1"/>
        <rFont val="Calibri"/>
        <family val="2"/>
        <scheme val="minor"/>
      </rPr>
      <t xml:space="preserve">
Provides visual representations of key data and trends (cash flow, savings, investment structure, etc.).
Helps interpret project viability and compare scenarios.</t>
    </r>
  </si>
  <si>
    <t>You need to fill this in on your own - think of it as a detailed breakdown of the "Cost per sqm (Including Reconstruction Cost)" times "Surface area (sqm)" plus Additional CapEx (year 0). So, total investment cost in short. You can copy this spredsheet irectly into your Business Model Template.</t>
  </si>
  <si>
    <t>Automatically calcultated if input data is filled in. You can copy it into the Business Model Template.</t>
  </si>
  <si>
    <t>Total Inv. Cost /m2</t>
  </si>
  <si>
    <t>Fill the data on your own based on the breakdown of budget sources that you find most likely. You can copy this spredsheet directly into your Business Model Template.</t>
  </si>
  <si>
    <t>Financing cost is taken from the cost based rent model.</t>
  </si>
  <si>
    <t>Cost /m2 (Including Reconstruction)</t>
  </si>
  <si>
    <t>Surface area (m2)</t>
  </si>
  <si>
    <t>Market value /m2 (post-renovation)</t>
  </si>
  <si>
    <t>Total Montly Rent</t>
  </si>
  <si>
    <t>Helps test different use scenarios - try chanign both ratios and types of space - i.e. instead co-working add commercial space</t>
  </si>
  <si>
    <t>Total</t>
  </si>
  <si>
    <t>Glossary</t>
  </si>
  <si>
    <t>Basic Use - needed to fill in the Business Model Template</t>
  </si>
  <si>
    <t>Advanced Use</t>
  </si>
  <si>
    <r>
      <rPr>
        <b/>
        <sz val="11"/>
        <color theme="1"/>
        <rFont val="Calibri"/>
        <family val="2"/>
        <scheme val="minor"/>
      </rPr>
      <t xml:space="preserve">CapEx (Capital Expenditure) - </t>
    </r>
    <r>
      <rPr>
        <sz val="11"/>
        <color theme="1"/>
        <rFont val="Calibri"/>
        <family val="2"/>
        <scheme val="minor"/>
      </rPr>
      <t xml:space="preserve">Total investment cost required for the renovation, including construction, materials, professional services, and other related expenses.
</t>
    </r>
    <r>
      <rPr>
        <b/>
        <sz val="11"/>
        <color theme="1"/>
        <rFont val="Calibri"/>
        <family val="2"/>
        <scheme val="minor"/>
      </rPr>
      <t xml:space="preserve">Discount Rate (NPV) - </t>
    </r>
    <r>
      <rPr>
        <sz val="11"/>
        <color theme="1"/>
        <rFont val="Calibri"/>
        <family val="2"/>
        <scheme val="minor"/>
      </rPr>
      <t xml:space="preserve">The percentage rate used to discount future cash flows to their present value when calculating Net Present Value (NPV). Represents the required return or cost of capital.
</t>
    </r>
    <r>
      <rPr>
        <b/>
        <sz val="11"/>
        <color theme="1"/>
        <rFont val="Calibri"/>
        <family val="2"/>
        <scheme val="minor"/>
      </rPr>
      <t xml:space="preserve">Initial LTV (Loan-to-Value) - </t>
    </r>
    <r>
      <rPr>
        <sz val="11"/>
        <color theme="1"/>
        <rFont val="Calibri"/>
        <family val="2"/>
        <scheme val="minor"/>
      </rPr>
      <t xml:space="preserve">The ratio of the loan amount to the total project value (or asset value) at the start of the project.
</t>
    </r>
    <r>
      <rPr>
        <b/>
        <sz val="11"/>
        <color theme="1"/>
        <rFont val="Calibri"/>
        <family val="2"/>
        <scheme val="minor"/>
      </rPr>
      <t xml:space="preserve">Annual Operating Costs - </t>
    </r>
    <r>
      <rPr>
        <sz val="11"/>
        <color theme="1"/>
        <rFont val="Calibri"/>
        <family val="2"/>
        <scheme val="minor"/>
      </rPr>
      <t xml:space="preserve">All recurring yearly expenses needed to operate the renovated building (energy, maintenance, services, management, etc.).
</t>
    </r>
    <r>
      <rPr>
        <b/>
        <sz val="11"/>
        <color theme="1"/>
        <rFont val="Calibri"/>
        <family val="2"/>
        <scheme val="minor"/>
      </rPr>
      <t xml:space="preserve">Payback Period - </t>
    </r>
    <r>
      <rPr>
        <sz val="11"/>
        <color theme="1"/>
        <rFont val="Calibri"/>
        <family val="2"/>
        <scheme val="minor"/>
      </rPr>
      <t xml:space="preserve">The number of years required for accumulated savings or revenues to recover the initial investment.
</t>
    </r>
    <r>
      <rPr>
        <b/>
        <sz val="11"/>
        <color theme="1"/>
        <rFont val="Calibri"/>
        <family val="2"/>
        <scheme val="minor"/>
      </rPr>
      <t xml:space="preserve">Structural &amp; Building Envelope - </t>
    </r>
    <r>
      <rPr>
        <sz val="11"/>
        <color theme="1"/>
        <rFont val="Calibri"/>
        <family val="2"/>
        <scheme val="minor"/>
      </rPr>
      <t xml:space="preserve">Components related to the building’s structure, insulation, facade, walls, roof, windows, and other elements that affect durability and energy performance.
</t>
    </r>
    <r>
      <rPr>
        <b/>
        <sz val="11"/>
        <color theme="1"/>
        <rFont val="Calibri"/>
        <family val="2"/>
        <scheme val="minor"/>
      </rPr>
      <t xml:space="preserve">Contingency (10%) - </t>
    </r>
    <r>
      <rPr>
        <sz val="11"/>
        <color theme="1"/>
        <rFont val="Calibri"/>
        <family val="2"/>
        <scheme val="minor"/>
      </rPr>
      <t xml:space="preserve">A reserve amount added to CapEx (commonly 10%) to cover unexpected costs or price changes during renovation.
</t>
    </r>
    <r>
      <rPr>
        <b/>
        <sz val="11"/>
        <color theme="1"/>
        <rFont val="Calibri"/>
        <family val="2"/>
        <scheme val="minor"/>
      </rPr>
      <t>Cost-Based Rent (Not for Profit)</t>
    </r>
    <r>
      <rPr>
        <sz val="11"/>
        <color theme="1"/>
        <rFont val="Calibri"/>
        <family val="2"/>
        <scheme val="minor"/>
      </rPr>
      <t xml:space="preserve">
Rent level set to cover operating costs, maintenance, and long-term sustainability, without profit margin.
</t>
    </r>
    <r>
      <rPr>
        <b/>
        <sz val="11"/>
        <color theme="1"/>
        <rFont val="Calibri"/>
        <family val="2"/>
        <scheme val="minor"/>
      </rPr>
      <t>For-Profit Rent</t>
    </r>
    <r>
      <rPr>
        <sz val="11"/>
        <color theme="1"/>
        <rFont val="Calibri"/>
        <family val="2"/>
        <scheme val="minor"/>
      </rPr>
      <t xml:space="preserve">
Rent set at a market-based rate that includes profit margin for the owner or operator.</t>
    </r>
  </si>
  <si>
    <r>
      <rPr>
        <b/>
        <sz val="11"/>
        <color theme="1"/>
        <rFont val="Calibri"/>
        <family val="2"/>
        <scheme val="minor"/>
      </rPr>
      <t xml:space="preserve">NOI (Net Operating Income) - </t>
    </r>
    <r>
      <rPr>
        <sz val="11"/>
        <color theme="1"/>
        <rFont val="Calibri"/>
        <family val="2"/>
        <scheme val="minor"/>
      </rPr>
      <t xml:space="preserve">Annual income after subtracting operating costs but before loan payments, taxes, depreciation, or other financial items.
</t>
    </r>
    <r>
      <rPr>
        <b/>
        <sz val="11"/>
        <color theme="1"/>
        <rFont val="Calibri"/>
        <family val="2"/>
        <scheme val="minor"/>
      </rPr>
      <t xml:space="preserve">Depreciation - </t>
    </r>
    <r>
      <rPr>
        <sz val="11"/>
        <color theme="1"/>
        <rFont val="Calibri"/>
        <family val="2"/>
        <scheme val="minor"/>
      </rPr>
      <t xml:space="preserve">A non-cash accounting expense that spreads the cost of an asset over its useful life.
</t>
    </r>
    <r>
      <rPr>
        <b/>
        <sz val="11"/>
        <color theme="1"/>
        <rFont val="Calibri"/>
        <family val="2"/>
        <scheme val="minor"/>
      </rPr>
      <t xml:space="preserve">EBIT (Earnings Before Interest and Taxes) - </t>
    </r>
    <r>
      <rPr>
        <sz val="11"/>
        <color theme="1"/>
        <rFont val="Calibri"/>
        <family val="2"/>
        <scheme val="minor"/>
      </rPr>
      <t xml:space="preserve">Financial performance metric calculated as revenue minus operating costs and depreciation.
</t>
    </r>
    <r>
      <rPr>
        <b/>
        <sz val="11"/>
        <color theme="1"/>
        <rFont val="Calibri"/>
        <family val="2"/>
        <scheme val="minor"/>
      </rPr>
      <t xml:space="preserve">Net Cash After Debt - </t>
    </r>
    <r>
      <rPr>
        <sz val="11"/>
        <color theme="1"/>
        <rFont val="Calibri"/>
        <family val="2"/>
        <scheme val="minor"/>
      </rPr>
      <t xml:space="preserve">Cash flow remaining after loan principal and interest payments are made.
</t>
    </r>
    <r>
      <rPr>
        <b/>
        <sz val="11"/>
        <color theme="1"/>
        <rFont val="Calibri"/>
        <family val="2"/>
        <scheme val="minor"/>
      </rPr>
      <t xml:space="preserve">Equity CF (Equity Cash Flow) - </t>
    </r>
    <r>
      <rPr>
        <sz val="11"/>
        <color theme="1"/>
        <rFont val="Calibri"/>
        <family val="2"/>
        <scheme val="minor"/>
      </rPr>
      <t xml:space="preserve">Cash flow available to equity investors after all expenses and debt service.
</t>
    </r>
    <r>
      <rPr>
        <b/>
        <sz val="11"/>
        <color theme="1"/>
        <rFont val="Calibri"/>
        <family val="2"/>
        <scheme val="minor"/>
      </rPr>
      <t xml:space="preserve">Cumulative Equity CF - </t>
    </r>
    <r>
      <rPr>
        <sz val="11"/>
        <color theme="1"/>
        <rFont val="Calibri"/>
        <family val="2"/>
        <scheme val="minor"/>
      </rPr>
      <t xml:space="preserve">Total accumulated equity cash flow over time, showing when equity is fully recovered.
</t>
    </r>
    <r>
      <rPr>
        <b/>
        <sz val="11"/>
        <color theme="1"/>
        <rFont val="Calibri"/>
        <family val="2"/>
        <scheme val="minor"/>
      </rPr>
      <t xml:space="preserve">DSCR (Debt Service Coverage Ratio) - </t>
    </r>
    <r>
      <rPr>
        <sz val="11"/>
        <color theme="1"/>
        <rFont val="Calibri"/>
        <family val="2"/>
        <scheme val="minor"/>
      </rPr>
      <t xml:space="preserve">A measure of the project’s ability to cover its debt payments:
DSCR = NOI / Debt Service
</t>
    </r>
    <r>
      <rPr>
        <b/>
        <sz val="11"/>
        <color theme="1"/>
        <rFont val="Calibri"/>
        <family val="2"/>
        <scheme val="minor"/>
      </rPr>
      <t xml:space="preserve">Debt Fully Repaid (Year) - </t>
    </r>
    <r>
      <rPr>
        <sz val="11"/>
        <color theme="1"/>
        <rFont val="Calibri"/>
        <family val="2"/>
        <scheme val="minor"/>
      </rPr>
      <t xml:space="preserve">The year in which the loan balance reaches zero.
</t>
    </r>
    <r>
      <rPr>
        <b/>
        <sz val="11"/>
        <color theme="1"/>
        <rFont val="Calibri"/>
        <family val="2"/>
        <scheme val="minor"/>
      </rPr>
      <t>Initial LTV (Loan / Value) -</t>
    </r>
    <r>
      <rPr>
        <sz val="11"/>
        <color theme="1"/>
        <rFont val="Calibri"/>
        <family val="2"/>
        <scheme val="minor"/>
      </rPr>
      <t xml:space="preserve"> Loan amount divided by project value or investment cost at project start.
</t>
    </r>
    <r>
      <rPr>
        <b/>
        <sz val="11"/>
        <color theme="1"/>
        <rFont val="Calibri"/>
        <family val="2"/>
        <scheme val="minor"/>
      </rPr>
      <t xml:space="preserve">Min DSCR - </t>
    </r>
    <r>
      <rPr>
        <sz val="11"/>
        <color theme="1"/>
        <rFont val="Calibri"/>
        <family val="2"/>
        <scheme val="minor"/>
      </rPr>
      <t xml:space="preserve">The lowest DSCR value recorded during the project period.
</t>
    </r>
    <r>
      <rPr>
        <b/>
        <sz val="11"/>
        <color theme="1"/>
        <rFont val="Calibri"/>
        <family val="2"/>
        <scheme val="minor"/>
      </rPr>
      <t>Years with DSCR &lt; 1.00 -</t>
    </r>
    <r>
      <rPr>
        <sz val="11"/>
        <color theme="1"/>
        <rFont val="Calibri"/>
        <family val="2"/>
        <scheme val="minor"/>
      </rPr>
      <t xml:space="preserve"> Number of years in which the project does not generate enough operating income to fully cover debt service.
</t>
    </r>
    <r>
      <rPr>
        <b/>
        <sz val="11"/>
        <color theme="1"/>
        <rFont val="Calibri"/>
        <family val="2"/>
        <scheme val="minor"/>
      </rPr>
      <t>NPV of Equity CFs -</t>
    </r>
    <r>
      <rPr>
        <sz val="11"/>
        <color theme="1"/>
        <rFont val="Calibri"/>
        <family val="2"/>
        <scheme val="minor"/>
      </rPr>
      <t xml:space="preserve"> The Net Present Value of equity investors’ future cash flows discounted back to present value.
</t>
    </r>
    <r>
      <rPr>
        <b/>
        <sz val="11"/>
        <color theme="1"/>
        <rFont val="Calibri"/>
        <family val="2"/>
        <scheme val="minor"/>
      </rPr>
      <t xml:space="preserve">IRR of Equity CFs - </t>
    </r>
    <r>
      <rPr>
        <sz val="11"/>
        <color theme="1"/>
        <rFont val="Calibri"/>
        <family val="2"/>
        <scheme val="minor"/>
      </rPr>
      <t xml:space="preserve">The Internal Rate of Return earned on the equity investment based on its cash flows.
</t>
    </r>
  </si>
  <si>
    <r>
      <rPr>
        <b/>
        <sz val="11"/>
        <color theme="1"/>
        <rFont val="Calibri"/>
        <family val="2"/>
        <scheme val="minor"/>
      </rPr>
      <t xml:space="preserve">Equity Invested (Year 0) - </t>
    </r>
    <r>
      <rPr>
        <sz val="11"/>
        <color theme="1"/>
        <rFont val="Calibri"/>
        <family val="2"/>
        <scheme val="minor"/>
      </rPr>
      <t xml:space="preserve">The initial cash investment contributed by the project owner or stakeholders at the beginning.
</t>
    </r>
    <r>
      <rPr>
        <b/>
        <sz val="11"/>
        <color theme="1"/>
        <rFont val="Calibri"/>
        <family val="2"/>
        <scheme val="minor"/>
      </rPr>
      <t>Payback Year (Cumulative Equity ≥ 0) -</t>
    </r>
    <r>
      <rPr>
        <sz val="11"/>
        <color theme="1"/>
        <rFont val="Calibri"/>
        <family val="2"/>
        <scheme val="minor"/>
      </rPr>
      <t xml:space="preserve"> The first year in which cumulative equity cash flow becomes positive.
</t>
    </r>
    <r>
      <rPr>
        <b/>
        <sz val="11"/>
        <color theme="1"/>
        <rFont val="Calibri"/>
        <family val="2"/>
        <scheme val="minor"/>
      </rPr>
      <t xml:space="preserve">Annual Positive Cash Flow Years (Count) - </t>
    </r>
    <r>
      <rPr>
        <sz val="11"/>
        <color theme="1"/>
        <rFont val="Calibri"/>
        <family val="2"/>
        <scheme val="minor"/>
      </rPr>
      <t xml:space="preserve">How many years the project generates positive cash flow after debt service.
</t>
    </r>
    <r>
      <rPr>
        <b/>
        <sz val="11"/>
        <color theme="1"/>
        <rFont val="Calibri"/>
        <family val="2"/>
        <scheme val="minor"/>
      </rPr>
      <t>NPV (Net Present Value) -</t>
    </r>
    <r>
      <rPr>
        <sz val="11"/>
        <color theme="1"/>
        <rFont val="Calibri"/>
        <family val="2"/>
        <scheme val="minor"/>
      </rPr>
      <t xml:space="preserve"> Present value of all future net cash flows minus initial investment, using the chosen discount rate.
</t>
    </r>
    <r>
      <rPr>
        <b/>
        <sz val="11"/>
        <color theme="1"/>
        <rFont val="Calibri"/>
        <family val="2"/>
        <scheme val="minor"/>
      </rPr>
      <t xml:space="preserve">IRR (Internal Rate of Return) - </t>
    </r>
    <r>
      <rPr>
        <sz val="11"/>
        <color theme="1"/>
        <rFont val="Calibri"/>
        <family val="2"/>
        <scheme val="minor"/>
      </rPr>
      <t>The return rate at which the NPV of all cash flows equals zero.</t>
    </r>
  </si>
  <si>
    <t>Charts (Advanced)</t>
  </si>
  <si>
    <r>
      <rPr>
        <b/>
        <sz val="11"/>
        <color theme="1"/>
        <rFont val="Calibri"/>
        <family val="2"/>
        <scheme val="minor"/>
      </rPr>
      <t xml:space="preserve">Total Revenue vs Total OpEx - </t>
    </r>
    <r>
      <rPr>
        <sz val="11"/>
        <color theme="1"/>
        <rFont val="Calibri"/>
        <family val="2"/>
        <scheme val="minor"/>
      </rPr>
      <t xml:space="preserve">Visual comparison of total annual revenues and operating expenses.
</t>
    </r>
    <r>
      <rPr>
        <b/>
        <sz val="11"/>
        <color theme="1"/>
        <rFont val="Calibri"/>
        <family val="2"/>
        <scheme val="minor"/>
      </rPr>
      <t xml:space="preserve">NOI, EBIT, Net Cash After Debt - </t>
    </r>
    <r>
      <rPr>
        <sz val="11"/>
        <color theme="1"/>
        <rFont val="Calibri"/>
        <family val="2"/>
        <scheme val="minor"/>
      </rPr>
      <t xml:space="preserve">Shows key financial performance metrics year by year.
</t>
    </r>
    <r>
      <rPr>
        <b/>
        <sz val="11"/>
        <color theme="1"/>
        <rFont val="Calibri"/>
        <family val="2"/>
        <scheme val="minor"/>
      </rPr>
      <t>DSCR Over Time -</t>
    </r>
    <r>
      <rPr>
        <sz val="11"/>
        <color theme="1"/>
        <rFont val="Calibri"/>
        <family val="2"/>
        <scheme val="minor"/>
      </rPr>
      <t xml:space="preserve"> Displays how the project’s ability to cover debt changes across the years.
</t>
    </r>
    <r>
      <rPr>
        <b/>
        <sz val="11"/>
        <color theme="1"/>
        <rFont val="Calibri"/>
        <family val="2"/>
        <scheme val="minor"/>
      </rPr>
      <t>Debt Service Breakdown (Interest vs Principal) -</t>
    </r>
    <r>
      <rPr>
        <sz val="11"/>
        <color theme="1"/>
        <rFont val="Calibri"/>
        <family val="2"/>
        <scheme val="minor"/>
      </rPr>
      <t xml:space="preserve"> Breaks loan payments into interest and principal components to show how they evolve.
</t>
    </r>
    <r>
      <rPr>
        <b/>
        <sz val="11"/>
        <color theme="1"/>
        <rFont val="Calibri"/>
        <family val="2"/>
        <scheme val="minor"/>
      </rPr>
      <t xml:space="preserve">Outstanding Loan Balance - </t>
    </r>
    <r>
      <rPr>
        <sz val="11"/>
        <color theme="1"/>
        <rFont val="Calibri"/>
        <family val="2"/>
        <scheme val="minor"/>
      </rPr>
      <t>Shows the remaining loan balance over time until full repayment.</t>
    </r>
  </si>
  <si>
    <r>
      <rPr>
        <b/>
        <sz val="11"/>
        <color theme="1"/>
        <rFont val="Calibri"/>
        <family val="2"/>
        <scheme val="minor"/>
      </rPr>
      <t xml:space="preserve">Cumulative Equity Cash Flow - </t>
    </r>
    <r>
      <rPr>
        <sz val="11"/>
        <color theme="1"/>
        <rFont val="Calibri"/>
        <family val="2"/>
        <scheme val="minor"/>
      </rPr>
      <t xml:space="preserve">Illustrates the accumulation of equity cash flows and identifies when equity is recovered.
</t>
    </r>
    <r>
      <rPr>
        <b/>
        <sz val="11"/>
        <color theme="1"/>
        <rFont val="Calibri"/>
        <family val="2"/>
        <scheme val="minor"/>
      </rPr>
      <t>Year 1 Revenue Mix -</t>
    </r>
    <r>
      <rPr>
        <sz val="11"/>
        <color theme="1"/>
        <rFont val="Calibri"/>
        <family val="2"/>
        <scheme val="minor"/>
      </rPr>
      <t xml:space="preserve"> Breakdown of revenue sources in the first operational year (rent, services, energy savings, etc.).
</t>
    </r>
    <r>
      <rPr>
        <b/>
        <sz val="11"/>
        <color theme="1"/>
        <rFont val="Calibri"/>
        <family val="2"/>
        <scheme val="minor"/>
      </rPr>
      <t xml:space="preserve">NOI vs Debt Service - </t>
    </r>
    <r>
      <rPr>
        <sz val="11"/>
        <color theme="1"/>
        <rFont val="Calibri"/>
        <family val="2"/>
        <scheme val="minor"/>
      </rPr>
      <t>Compares operating income to total debt service to highlight financial resilience.</t>
    </r>
  </si>
  <si>
    <t>1) All data is pre-filled for a hypothetical project, so, when you start, keep in mind you will have to change numbers.</t>
  </si>
  <si>
    <r>
      <t xml:space="preserve">3) If it is not possible for you to fill in all the grey cells, at least give input for those additionally </t>
    </r>
    <r>
      <rPr>
        <b/>
        <sz val="11"/>
        <color theme="8" tint="0.39997558519241921"/>
        <rFont val="Calibri"/>
        <family val="2"/>
        <scheme val="minor"/>
      </rPr>
      <t>marked in Blue</t>
    </r>
    <r>
      <rPr>
        <b/>
        <sz val="11"/>
        <color theme="8" tint="-0.249977111117893"/>
        <rFont val="Calibri"/>
        <family val="2"/>
        <scheme val="minor"/>
      </rPr>
      <t>.</t>
    </r>
  </si>
  <si>
    <r>
      <t xml:space="preserve">4) Continue with the </t>
    </r>
    <r>
      <rPr>
        <b/>
        <sz val="11"/>
        <color rgb="FF3C9DA2"/>
        <rFont val="Calibri"/>
        <family val="2"/>
        <scheme val="minor"/>
      </rPr>
      <t>Dark Teal</t>
    </r>
    <r>
      <rPr>
        <sz val="11"/>
        <color theme="1"/>
        <rFont val="Calibri"/>
        <family val="2"/>
        <scheme val="minor"/>
      </rPr>
      <t xml:space="preserve"> tables as you will be able to copy those to the finance section of the Business Model Template.</t>
    </r>
  </si>
  <si>
    <t>Minimum Input Section</t>
  </si>
  <si>
    <r>
      <t xml:space="preserve">2) Go to "Inputs &amp; Basic KPIs" sheet and </t>
    </r>
    <r>
      <rPr>
        <b/>
        <sz val="11"/>
        <color theme="0" tint="-0.34998626667073579"/>
        <rFont val="Calibri"/>
        <family val="2"/>
        <scheme val="minor"/>
      </rPr>
      <t>complete</t>
    </r>
    <r>
      <rPr>
        <sz val="11"/>
        <color theme="1"/>
        <rFont val="Calibri"/>
        <family val="2"/>
        <scheme val="minor"/>
      </rPr>
      <t xml:space="preserve"> </t>
    </r>
    <r>
      <rPr>
        <b/>
        <sz val="11"/>
        <color theme="0" tint="-0.34998626667073579"/>
        <rFont val="Calibri"/>
        <family val="2"/>
        <scheme val="minor"/>
      </rPr>
      <t>Light Grey Cells</t>
    </r>
    <r>
      <rPr>
        <sz val="11"/>
        <color theme="1"/>
        <rFont val="Calibri"/>
        <family val="2"/>
        <scheme val="minor"/>
      </rPr>
      <t xml:space="preserve"> of the "Minimum Input Section" - the more, the better. </t>
    </r>
  </si>
  <si>
    <r>
      <t>5) We encourage you to explore also other parts of the "Inputs &amp; Basic KPIs" sheet as they will provide you with further interesting insight into your business model. The tables in Green and Orange particularly will help you betterunderstand the "</t>
    </r>
    <r>
      <rPr>
        <b/>
        <sz val="11"/>
        <color theme="6" tint="-0.249977111117893"/>
        <rFont val="Calibri"/>
        <family val="2"/>
        <scheme val="minor"/>
      </rPr>
      <t>Renovate &amp; Sell</t>
    </r>
    <r>
      <rPr>
        <sz val="11"/>
        <color theme="1"/>
        <rFont val="Calibri"/>
        <family val="2"/>
        <scheme val="minor"/>
      </rPr>
      <t>" and "</t>
    </r>
    <r>
      <rPr>
        <b/>
        <sz val="11"/>
        <color theme="9" tint="-0.249977111117893"/>
        <rFont val="Calibri"/>
        <family val="2"/>
        <scheme val="minor"/>
      </rPr>
      <t>Renovate &amp; Rent Out</t>
    </r>
    <r>
      <rPr>
        <sz val="11"/>
        <color theme="1"/>
        <rFont val="Calibri"/>
        <family val="2"/>
        <scheme val="minor"/>
      </rPr>
      <t>" models.</t>
    </r>
  </si>
  <si>
    <t>6) We encourage you also to take a look at the "Charts" sheet as it will provide you with some simple visualisations of otherwise complex KPIs.</t>
  </si>
  <si>
    <t>7) Wile the Loan, Cash Flow, and KPIs sections are meant for advanced use, feel free to explore. In any case, these sheets will be very usefull if you choose to further develop your project and potentially go looking for financing.</t>
  </si>
  <si>
    <t>How to use the Tool:</t>
  </si>
  <si>
    <r>
      <t xml:space="preserve">This financial modelling tool was developed as part of the RurALL – Liveable Rural Communities of the Future project, supported under the Danube Region Programme. The tool directly contributes to Activity 2.3: Development of business models for financing the dwellings renovation (piloting) and supports the creation and enhancement of Output 2.3: Business Models.
Its purpose is to help project partners, local authorities, community organisations, and other stakeholders develop and analyse the financial components of proposed renovation and revitalisation concepts for deteriorating dwellings identified through the project’s pilot activities.
The tool provides a flexible framework suitable for both non-experts and users with more advanced financial knowledge:
</t>
    </r>
    <r>
      <rPr>
        <b/>
        <sz val="11"/>
        <color theme="1"/>
        <rFont val="Calibri"/>
        <family val="2"/>
        <scheme val="minor"/>
      </rPr>
      <t xml:space="preserve">A) </t>
    </r>
    <r>
      <rPr>
        <sz val="11"/>
        <color theme="1"/>
        <rFont val="Calibri"/>
        <family val="2"/>
        <scheme val="minor"/>
      </rPr>
      <t xml:space="preserve">Basic functionality enables quick, accessible calculations through the Inputs &amp; Basic KPIs sheet. This is sufficient for preparing the financial elements of the Business Model Template.
</t>
    </r>
    <r>
      <rPr>
        <b/>
        <sz val="11"/>
        <color theme="1"/>
        <rFont val="Calibri"/>
        <family val="2"/>
        <scheme val="minor"/>
      </rPr>
      <t xml:space="preserve">B) </t>
    </r>
    <r>
      <rPr>
        <sz val="11"/>
        <color theme="1"/>
        <rFont val="Calibri"/>
        <family val="2"/>
        <scheme val="minor"/>
      </rPr>
      <t>Advanced functionality offers deeper financial planning through detailed loan calculations, cash flow modelling, investment scenario analysis, and KPI evaluation. While not required for the basic business model, users are encouraged to explore these features, especially if they intend to further develop or implement their renovation concepts.
By using this tool, partners can understand the financial feasibility of renovation options, compare governance and financing models, and prepare well-structured insights for decision-making and further development.</t>
    </r>
  </si>
  <si>
    <t>This sheet helps understand impact of financing cost on total investment costs. The financing cost is calculated from the cost based rent model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</si>
</sst>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2]\ * #,##0.00_);_([$€-2]\ * \(#,##0.00\);_([$€-2]\ * &quot;-&quot;??_);_(@_)"/>
    <numFmt numFmtId="165" formatCode="_-[$€-2]\ * #,##0.00_-;\-[$€-2]\ * #,##0.00_-;_-[$€-2]\ * &quot;-&quot;??_-;_-@"/>
    <numFmt numFmtId="166" formatCode="#,##0.00\ &quot;€&quot;"/>
    <numFmt numFmtId="167" formatCode="0.0"/>
  </numFmts>
  <fonts count="25" x14ac:knownFonts="1">
    <font>
      <sz val="11"/>
      <color theme="1"/>
      <name val="Calibri"/>
      <family val="2"/>
      <scheme val="minor"/>
    </font>
    <font>
      <b/>
      <sz val="14"/>
      <color theme="1"/>
      <name val="Calibri"/>
      <family val="2"/>
      <scheme val="minor"/>
    </font>
    <font>
      <b/>
      <sz val="11"/>
      <color theme="1"/>
      <name val="Calibri"/>
      <family val="2"/>
      <scheme val="minor"/>
    </font>
    <font>
      <i/>
      <sz val="11"/>
      <color rgb="FF555555"/>
      <name val="Calibri"/>
      <family val="2"/>
      <scheme val="minor"/>
    </font>
    <font>
      <sz val="11"/>
      <color theme="1"/>
      <name val="Calibri"/>
      <family val="2"/>
      <scheme val="minor"/>
    </font>
    <font>
      <b/>
      <sz val="11"/>
      <color theme="1"/>
      <name val="Calibri"/>
      <family val="2"/>
    </font>
    <font>
      <sz val="11"/>
      <color theme="1"/>
      <name val="Calibri"/>
      <family val="2"/>
    </font>
    <font>
      <b/>
      <sz val="11"/>
      <color theme="1"/>
      <name val="Calibri"/>
      <family val="2"/>
    </font>
    <font>
      <b/>
      <sz val="8"/>
      <color rgb="FFFFFFFF"/>
      <name val="Arial"/>
      <family val="2"/>
    </font>
    <font>
      <b/>
      <sz val="8"/>
      <color rgb="FF000000"/>
      <name val="Arial"/>
      <family val="2"/>
    </font>
    <font>
      <sz val="8"/>
      <color rgb="FF000000"/>
      <name val="Arial"/>
      <family val="2"/>
    </font>
    <font>
      <b/>
      <sz val="9"/>
      <color rgb="FFFFFFFF"/>
      <name val="Arial"/>
      <family val="2"/>
    </font>
    <font>
      <sz val="11"/>
      <name val="Calibri"/>
      <family val="2"/>
      <scheme val="minor"/>
    </font>
    <font>
      <i/>
      <sz val="11"/>
      <color theme="1"/>
      <name val="Calibri"/>
      <family val="2"/>
      <scheme val="minor"/>
    </font>
    <font>
      <sz val="11"/>
      <color theme="1"/>
      <name val="Calibri"/>
      <family val="2"/>
    </font>
    <font>
      <i/>
      <sz val="10"/>
      <color theme="1"/>
      <name val="Calibri"/>
      <family val="2"/>
      <scheme val="minor"/>
    </font>
    <font>
      <b/>
      <sz val="12"/>
      <color theme="1"/>
      <name val="Calibri"/>
      <family val="2"/>
      <scheme val="minor"/>
    </font>
    <font>
      <sz val="14"/>
      <color theme="1"/>
      <name val="Calibri"/>
      <family val="2"/>
      <scheme val="minor"/>
    </font>
    <font>
      <sz val="11"/>
      <color theme="8" tint="-0.249977111117893"/>
      <name val="Calibri"/>
      <family val="2"/>
      <scheme val="minor"/>
    </font>
    <font>
      <b/>
      <sz val="11"/>
      <color theme="8" tint="-0.249977111117893"/>
      <name val="Calibri"/>
      <family val="2"/>
      <scheme val="minor"/>
    </font>
    <font>
      <b/>
      <sz val="11"/>
      <color theme="0" tint="-0.34998626667073579"/>
      <name val="Calibri"/>
      <family val="2"/>
      <scheme val="minor"/>
    </font>
    <font>
      <b/>
      <sz val="11"/>
      <color rgb="FF3C9DA2"/>
      <name val="Calibri"/>
      <family val="2"/>
      <scheme val="minor"/>
    </font>
    <font>
      <b/>
      <sz val="11"/>
      <color theme="8" tint="0.39997558519241921"/>
      <name val="Calibri"/>
      <family val="2"/>
      <scheme val="minor"/>
    </font>
    <font>
      <b/>
      <sz val="11"/>
      <color theme="6" tint="-0.249977111117893"/>
      <name val="Calibri"/>
      <family val="2"/>
      <scheme val="minor"/>
    </font>
    <font>
      <b/>
      <sz val="11"/>
      <color theme="9" tint="-0.249977111117893"/>
      <name val="Calibri"/>
      <family val="2"/>
      <scheme val="minor"/>
    </font>
  </fonts>
  <fills count="19">
    <fill>
      <patternFill patternType="none"/>
    </fill>
    <fill>
      <patternFill patternType="gray125"/>
    </fill>
    <fill>
      <patternFill patternType="solid">
        <fgColor rgb="FFD9E1F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59999389629810485"/>
        <bgColor rgb="FFC5E0B3"/>
      </patternFill>
    </fill>
    <fill>
      <patternFill patternType="solid">
        <fgColor theme="9" tint="0.79998168889431442"/>
        <bgColor rgb="FFE2EFD9"/>
      </patternFill>
    </fill>
    <fill>
      <patternFill patternType="solid">
        <fgColor theme="9" tint="0.7999816888943144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rgb="FF467878"/>
        <bgColor indexed="64"/>
      </patternFill>
    </fill>
    <fill>
      <patternFill patternType="solid">
        <fgColor rgb="FFFFFFFF"/>
        <bgColor indexed="64"/>
      </patternFill>
    </fill>
    <fill>
      <patternFill patternType="solid">
        <fgColor rgb="FFD9D9D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0" tint="-4.9989318521683403E-2"/>
        <bgColor rgb="FFE2EFD9"/>
      </patternFill>
    </fill>
    <fill>
      <patternFill patternType="solid">
        <fgColor rgb="FFE6E6E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right/>
      <top style="thin">
        <color auto="1"/>
      </top>
      <bottom/>
      <diagonal/>
    </border>
    <border>
      <left/>
      <right/>
      <top style="thin">
        <color auto="1"/>
      </top>
      <bottom style="thin">
        <color auto="1"/>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00">
    <xf numFmtId="0" fontId="0" fillId="0" borderId="0" xfId="0"/>
    <xf numFmtId="0" fontId="1" fillId="0" borderId="0" xfId="0" applyFont="1"/>
    <xf numFmtId="0" fontId="2" fillId="2" borderId="1" xfId="0" applyFont="1" applyFill="1" applyBorder="1"/>
    <xf numFmtId="0" fontId="3" fillId="0" borderId="0" xfId="0" applyFont="1"/>
    <xf numFmtId="1" fontId="0" fillId="0" borderId="0" xfId="0" applyNumberFormat="1"/>
    <xf numFmtId="4" fontId="0" fillId="0" borderId="0" xfId="0" applyNumberFormat="1"/>
    <xf numFmtId="0" fontId="0" fillId="0" borderId="1" xfId="0" applyBorder="1"/>
    <xf numFmtId="164" fontId="0" fillId="0" borderId="1" xfId="0" applyNumberFormat="1" applyBorder="1"/>
    <xf numFmtId="164" fontId="0" fillId="0" borderId="0" xfId="0" applyNumberFormat="1"/>
    <xf numFmtId="9" fontId="0" fillId="0" borderId="0" xfId="0" applyNumberFormat="1"/>
    <xf numFmtId="0" fontId="0" fillId="4" borderId="1" xfId="0" applyFill="1" applyBorder="1"/>
    <xf numFmtId="166" fontId="0" fillId="3" borderId="1" xfId="0" applyNumberFormat="1" applyFill="1" applyBorder="1"/>
    <xf numFmtId="44" fontId="0" fillId="3" borderId="1" xfId="1" applyFont="1" applyFill="1" applyBorder="1"/>
    <xf numFmtId="44" fontId="0" fillId="3" borderId="1" xfId="0" applyNumberFormat="1" applyFill="1" applyBorder="1"/>
    <xf numFmtId="0" fontId="6" fillId="6" borderId="2" xfId="0" applyFont="1" applyFill="1" applyBorder="1"/>
    <xf numFmtId="0" fontId="5" fillId="6" borderId="2" xfId="0" applyFont="1" applyFill="1" applyBorder="1"/>
    <xf numFmtId="0" fontId="6" fillId="7" borderId="2" xfId="0" applyFont="1" applyFill="1" applyBorder="1"/>
    <xf numFmtId="165" fontId="6" fillId="7" borderId="2" xfId="0" applyNumberFormat="1" applyFont="1" applyFill="1" applyBorder="1"/>
    <xf numFmtId="166" fontId="6" fillId="7" borderId="2" xfId="0" applyNumberFormat="1" applyFont="1" applyFill="1" applyBorder="1"/>
    <xf numFmtId="165" fontId="7" fillId="7" borderId="2" xfId="0" applyNumberFormat="1" applyFont="1" applyFill="1" applyBorder="1"/>
    <xf numFmtId="0" fontId="0" fillId="9" borderId="0" xfId="0" applyFill="1"/>
    <xf numFmtId="9" fontId="0" fillId="0" borderId="1" xfId="2" applyFont="1" applyBorder="1"/>
    <xf numFmtId="0" fontId="7" fillId="6" borderId="2" xfId="0" applyFont="1" applyFill="1" applyBorder="1"/>
    <xf numFmtId="9" fontId="7" fillId="7" borderId="2" xfId="2" applyFont="1" applyFill="1" applyBorder="1"/>
    <xf numFmtId="44" fontId="7" fillId="7" borderId="2" xfId="1" applyFont="1" applyFill="1" applyBorder="1"/>
    <xf numFmtId="44" fontId="0" fillId="0" borderId="1" xfId="1" applyFont="1" applyBorder="1"/>
    <xf numFmtId="166" fontId="0" fillId="0" borderId="1" xfId="0" applyNumberFormat="1" applyBorder="1"/>
    <xf numFmtId="44" fontId="0" fillId="0" borderId="1" xfId="0" applyNumberFormat="1" applyBorder="1"/>
    <xf numFmtId="0" fontId="0" fillId="0" borderId="1" xfId="0" applyBorder="1" applyAlignment="1">
      <alignment wrapText="1"/>
    </xf>
    <xf numFmtId="9" fontId="0" fillId="0" borderId="1" xfId="0" applyNumberFormat="1" applyBorder="1"/>
    <xf numFmtId="0" fontId="6" fillId="6" borderId="3" xfId="0" applyFont="1" applyFill="1" applyBorder="1"/>
    <xf numFmtId="165" fontId="6" fillId="7" borderId="3" xfId="0" applyNumberFormat="1" applyFont="1" applyFill="1" applyBorder="1"/>
    <xf numFmtId="0" fontId="0" fillId="5" borderId="1" xfId="0" applyFill="1" applyBorder="1"/>
    <xf numFmtId="165" fontId="0" fillId="8" borderId="1" xfId="0" applyNumberFormat="1" applyFill="1" applyBorder="1"/>
    <xf numFmtId="0" fontId="8" fillId="11"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12" borderId="1" xfId="0" applyFont="1" applyFill="1" applyBorder="1" applyAlignment="1">
      <alignment vertical="center" wrapText="1"/>
    </xf>
    <xf numFmtId="0" fontId="9" fillId="13" borderId="1" xfId="0" applyFont="1" applyFill="1" applyBorder="1" applyAlignment="1">
      <alignment horizontal="center" vertical="center" wrapText="1"/>
    </xf>
    <xf numFmtId="9" fontId="9" fillId="13" borderId="1" xfId="0"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4" xfId="0" applyFont="1" applyFill="1" applyBorder="1" applyAlignment="1">
      <alignment horizontal="center" vertical="center" wrapText="1"/>
    </xf>
    <xf numFmtId="9" fontId="10" fillId="0" borderId="1" xfId="2" applyFont="1" applyBorder="1" applyAlignment="1">
      <alignment horizontal="center" vertical="center" wrapText="1"/>
    </xf>
    <xf numFmtId="167" fontId="0" fillId="0" borderId="1" xfId="0" applyNumberFormat="1" applyBorder="1"/>
    <xf numFmtId="0" fontId="0" fillId="0" borderId="0" xfId="0" applyAlignment="1">
      <alignment horizontal="left" vertical="top" wrapText="1"/>
    </xf>
    <xf numFmtId="0" fontId="0" fillId="15" borderId="1" xfId="0" applyFill="1" applyBorder="1"/>
    <xf numFmtId="1" fontId="0" fillId="16" borderId="0" xfId="0" applyNumberFormat="1" applyFill="1"/>
    <xf numFmtId="0" fontId="0" fillId="16" borderId="0" xfId="0" applyFill="1"/>
    <xf numFmtId="10" fontId="0" fillId="16" borderId="0" xfId="0" applyNumberFormat="1" applyFill="1"/>
    <xf numFmtId="4" fontId="0" fillId="16" borderId="0" xfId="0" applyNumberFormat="1" applyFill="1"/>
    <xf numFmtId="44" fontId="0" fillId="15" borderId="1" xfId="1" applyFont="1" applyFill="1" applyBorder="1"/>
    <xf numFmtId="0" fontId="10" fillId="15" borderId="1" xfId="0" applyFont="1" applyFill="1" applyBorder="1" applyAlignment="1">
      <alignment horizontal="center" vertical="center" wrapText="1"/>
    </xf>
    <xf numFmtId="9" fontId="0" fillId="0" borderId="4" xfId="2" applyFont="1" applyBorder="1"/>
    <xf numFmtId="165" fontId="14" fillId="6" borderId="2" xfId="0" applyNumberFormat="1" applyFont="1" applyFill="1" applyBorder="1" applyAlignment="1">
      <alignment horizontal="left"/>
    </xf>
    <xf numFmtId="165" fontId="6" fillId="6" borderId="2" xfId="0" applyNumberFormat="1" applyFont="1" applyFill="1" applyBorder="1" applyAlignment="1">
      <alignment horizontal="left"/>
    </xf>
    <xf numFmtId="165" fontId="6" fillId="17" borderId="2" xfId="0" applyNumberFormat="1" applyFont="1" applyFill="1" applyBorder="1"/>
    <xf numFmtId="4" fontId="0" fillId="0" borderId="1" xfId="0" applyNumberFormat="1" applyBorder="1"/>
    <xf numFmtId="10" fontId="0" fillId="0" borderId="1" xfId="0" applyNumberFormat="1" applyBorder="1"/>
    <xf numFmtId="1" fontId="18" fillId="16" borderId="0" xfId="0" applyNumberFormat="1" applyFont="1" applyFill="1"/>
    <xf numFmtId="3" fontId="18" fillId="16" borderId="0" xfId="0" applyNumberFormat="1" applyFont="1" applyFill="1"/>
    <xf numFmtId="4" fontId="18" fillId="16" borderId="0" xfId="0" applyNumberFormat="1" applyFont="1" applyFill="1"/>
    <xf numFmtId="10" fontId="18" fillId="16" borderId="0" xfId="0" applyNumberFormat="1" applyFont="1" applyFill="1"/>
    <xf numFmtId="0" fontId="0" fillId="18" borderId="1" xfId="0" applyFill="1" applyBorder="1"/>
    <xf numFmtId="9" fontId="18" fillId="18" borderId="1" xfId="2" applyFont="1" applyFill="1" applyBorder="1"/>
    <xf numFmtId="0" fontId="0" fillId="0" borderId="6" xfId="0" applyBorder="1" applyAlignment="1">
      <alignment horizontal="center"/>
    </xf>
    <xf numFmtId="0" fontId="0" fillId="0" borderId="0" xfId="0" applyAlignment="1">
      <alignment horizontal="center"/>
    </xf>
    <xf numFmtId="0" fontId="0" fillId="14" borderId="1" xfId="0" applyFill="1" applyBorder="1" applyAlignment="1">
      <alignment horizontal="left" vertical="top" wrapText="1"/>
    </xf>
    <xf numFmtId="0" fontId="1" fillId="14" borderId="1" xfId="0" applyFont="1" applyFill="1" applyBorder="1" applyAlignment="1">
      <alignment horizontal="center" vertical="top" wrapText="1"/>
    </xf>
    <xf numFmtId="0" fontId="1" fillId="14" borderId="4" xfId="0" applyFont="1" applyFill="1" applyBorder="1" applyAlignment="1">
      <alignment horizontal="center" vertical="top" wrapText="1"/>
    </xf>
    <xf numFmtId="0" fontId="1" fillId="14" borderId="16" xfId="0" applyFont="1" applyFill="1" applyBorder="1" applyAlignment="1">
      <alignment horizontal="center" vertical="top" wrapText="1"/>
    </xf>
    <xf numFmtId="0" fontId="1" fillId="14" borderId="5" xfId="0" applyFont="1" applyFill="1" applyBorder="1" applyAlignment="1">
      <alignment horizontal="center" vertical="top" wrapText="1"/>
    </xf>
    <xf numFmtId="0" fontId="16" fillId="14" borderId="1" xfId="0" applyFont="1" applyFill="1" applyBorder="1" applyAlignment="1">
      <alignment horizontal="left"/>
    </xf>
    <xf numFmtId="0" fontId="17" fillId="14" borderId="1" xfId="0" applyFont="1" applyFill="1" applyBorder="1" applyAlignment="1">
      <alignment horizontal="center" vertical="top" wrapText="1"/>
    </xf>
    <xf numFmtId="0" fontId="0" fillId="14" borderId="9" xfId="0" applyFill="1" applyBorder="1" applyAlignment="1">
      <alignment horizontal="left" vertical="top" wrapText="1"/>
    </xf>
    <xf numFmtId="0" fontId="0" fillId="14" borderId="15" xfId="0" applyFill="1" applyBorder="1" applyAlignment="1">
      <alignment horizontal="left" vertical="top" wrapText="1"/>
    </xf>
    <xf numFmtId="0" fontId="0" fillId="14" borderId="10" xfId="0" applyFill="1" applyBorder="1" applyAlignment="1">
      <alignment horizontal="left" vertical="top" wrapText="1"/>
    </xf>
    <xf numFmtId="0" fontId="0" fillId="14" borderId="7" xfId="0" applyFill="1" applyBorder="1" applyAlignment="1">
      <alignment horizontal="left" vertical="top" wrapText="1"/>
    </xf>
    <xf numFmtId="0" fontId="0" fillId="14" borderId="0" xfId="0" applyFill="1" applyBorder="1" applyAlignment="1">
      <alignment horizontal="left" vertical="top" wrapText="1"/>
    </xf>
    <xf numFmtId="0" fontId="0" fillId="14" borderId="11" xfId="0" applyFill="1" applyBorder="1" applyAlignment="1">
      <alignment horizontal="left" vertical="top" wrapText="1"/>
    </xf>
    <xf numFmtId="0" fontId="13" fillId="10" borderId="1" xfId="0" applyFont="1" applyFill="1" applyBorder="1" applyAlignment="1">
      <alignment horizontal="left" vertical="top" wrapText="1"/>
    </xf>
    <xf numFmtId="0" fontId="15" fillId="10" borderId="1" xfId="0" applyFont="1" applyFill="1" applyBorder="1" applyAlignment="1">
      <alignment horizontal="left" vertical="top" wrapText="1"/>
    </xf>
    <xf numFmtId="0" fontId="12" fillId="9" borderId="0" xfId="0" applyFont="1" applyFill="1" applyAlignment="1">
      <alignment horizontal="left" wrapText="1"/>
    </xf>
    <xf numFmtId="0" fontId="13" fillId="10" borderId="1" xfId="0" applyFont="1" applyFill="1" applyBorder="1" applyAlignment="1">
      <alignment horizontal="left" wrapText="1"/>
    </xf>
    <xf numFmtId="0" fontId="13" fillId="10" borderId="1" xfId="0" applyFont="1" applyFill="1" applyBorder="1" applyAlignment="1">
      <alignment horizontal="left"/>
    </xf>
    <xf numFmtId="0" fontId="13" fillId="10" borderId="9" xfId="0" applyFont="1" applyFill="1" applyBorder="1" applyAlignment="1">
      <alignment horizontal="left" wrapText="1"/>
    </xf>
    <xf numFmtId="0" fontId="13" fillId="10" borderId="10" xfId="0" applyFont="1" applyFill="1" applyBorder="1" applyAlignment="1">
      <alignment horizontal="left" wrapText="1"/>
    </xf>
    <xf numFmtId="0" fontId="13" fillId="10" borderId="7" xfId="0" applyFont="1" applyFill="1" applyBorder="1" applyAlignment="1">
      <alignment horizontal="left" wrapText="1"/>
    </xf>
    <xf numFmtId="0" fontId="13" fillId="10" borderId="11" xfId="0" applyFont="1" applyFill="1" applyBorder="1" applyAlignment="1">
      <alignment horizontal="left" wrapText="1"/>
    </xf>
    <xf numFmtId="0" fontId="13" fillId="10" borderId="8" xfId="0" applyFont="1" applyFill="1" applyBorder="1" applyAlignment="1">
      <alignment horizontal="left" wrapText="1"/>
    </xf>
    <xf numFmtId="0" fontId="13" fillId="10" borderId="12" xfId="0" applyFont="1" applyFill="1" applyBorder="1" applyAlignment="1">
      <alignment horizontal="left" wrapText="1"/>
    </xf>
    <xf numFmtId="0" fontId="2" fillId="5" borderId="13" xfId="0" applyFont="1" applyFill="1" applyBorder="1" applyAlignment="1">
      <alignment horizontal="center"/>
    </xf>
    <xf numFmtId="0" fontId="2" fillId="5" borderId="14"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11" fillId="11" borderId="4"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2" fillId="0" borderId="4" xfId="0" applyFont="1" applyBorder="1" applyAlignment="1">
      <alignment horizontal="center"/>
    </xf>
    <xf numFmtId="0" fontId="0" fillId="0" borderId="5" xfId="0" applyBorder="1" applyAlignment="1">
      <alignment horizontal="center"/>
    </xf>
    <xf numFmtId="0" fontId="0" fillId="10" borderId="1" xfId="0" applyFill="1" applyBorder="1" applyAlignment="1">
      <alignment horizontal="left" wrapText="1"/>
    </xf>
  </cellXfs>
  <cellStyles count="3">
    <cellStyle name="Currency" xfId="1" builtinId="4"/>
    <cellStyle name="Normal" xfId="0" builtinId="0"/>
    <cellStyle name="Percent" xfId="2" builtinId="5"/>
  </cellStyles>
  <dxfs count="3">
    <dxf>
      <fill>
        <patternFill>
          <bgColor rgb="FFFCE4D6"/>
        </patternFill>
      </fill>
    </dxf>
    <dxf>
      <fill>
        <patternFill>
          <bgColor rgb="FFE2F0D9"/>
        </patternFill>
      </fill>
    </dxf>
    <dxf>
      <fill>
        <patternFill>
          <bgColor rgb="FFEEEEEE"/>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E6E6E6"/>
      <color rgb="FF3C9D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Revenue vs Total Op</a:t>
            </a:r>
            <a:r>
              <a:rPr lang="sl-SI"/>
              <a:t>E</a:t>
            </a:r>
            <a:r>
              <a:rPr lang="en-US"/>
              <a:t>x</a:t>
            </a:r>
          </a:p>
        </c:rich>
      </c:tx>
      <c:overlay val="0"/>
    </c:title>
    <c:autoTitleDeleted val="0"/>
    <c:plotArea>
      <c:layout/>
      <c:barChart>
        <c:barDir val="col"/>
        <c:grouping val="clustered"/>
        <c:varyColors val="0"/>
        <c:ser>
          <c:idx val="0"/>
          <c:order val="0"/>
          <c:spPr>
            <a:ln>
              <a:prstDash val="solid"/>
            </a:ln>
          </c:spPr>
          <c:invertIfNegative val="0"/>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Flow'!$F$3:$F$32</c:f>
              <c:numCache>
                <c:formatCode>_([$€-2]\ * #,##0.00_);_([$€-2]\ * \(#,##0.00\);_([$€-2]\ * "-"??_);_(@_)</c:formatCode>
                <c:ptCount val="30"/>
                <c:pt idx="0">
                  <c:v>213200</c:v>
                </c:pt>
                <c:pt idx="1">
                  <c:v>217464</c:v>
                </c:pt>
                <c:pt idx="2">
                  <c:v>221813.28</c:v>
                </c:pt>
                <c:pt idx="3">
                  <c:v>226249.54559999998</c:v>
                </c:pt>
                <c:pt idx="4">
                  <c:v>230774.53651199999</c:v>
                </c:pt>
                <c:pt idx="5">
                  <c:v>235390.02724224</c:v>
                </c:pt>
                <c:pt idx="6">
                  <c:v>240097.8277870848</c:v>
                </c:pt>
                <c:pt idx="7">
                  <c:v>244899.78434282646</c:v>
                </c:pt>
                <c:pt idx="8">
                  <c:v>249797.78002968302</c:v>
                </c:pt>
                <c:pt idx="9">
                  <c:v>254793.73563027667</c:v>
                </c:pt>
                <c:pt idx="10">
                  <c:v>259889.61034288222</c:v>
                </c:pt>
                <c:pt idx="11">
                  <c:v>265087.40254973981</c:v>
                </c:pt>
                <c:pt idx="12">
                  <c:v>270389.15060073463</c:v>
                </c:pt>
                <c:pt idx="13">
                  <c:v>275796.93361274933</c:v>
                </c:pt>
                <c:pt idx="14">
                  <c:v>281312.87228500436</c:v>
                </c:pt>
                <c:pt idx="15">
                  <c:v>286939.12973070436</c:v>
                </c:pt>
                <c:pt idx="16">
                  <c:v>292677.9123253185</c:v>
                </c:pt>
                <c:pt idx="17">
                  <c:v>298531.47057182487</c:v>
                </c:pt>
                <c:pt idx="18">
                  <c:v>304502.09998326132</c:v>
                </c:pt>
                <c:pt idx="19">
                  <c:v>310592.14198292658</c:v>
                </c:pt>
                <c:pt idx="20">
                  <c:v>316803.98482258513</c:v>
                </c:pt>
                <c:pt idx="21">
                  <c:v>323140.06451903679</c:v>
                </c:pt>
                <c:pt idx="22">
                  <c:v>329602.86580941756</c:v>
                </c:pt>
                <c:pt idx="23">
                  <c:v>336194.92312560586</c:v>
                </c:pt>
                <c:pt idx="24">
                  <c:v>342918.82158811798</c:v>
                </c:pt>
                <c:pt idx="25">
                  <c:v>349777.19801988034</c:v>
                </c:pt>
                <c:pt idx="26">
                  <c:v>356772.74198027793</c:v>
                </c:pt>
                <c:pt idx="27">
                  <c:v>363908.19681988348</c:v>
                </c:pt>
                <c:pt idx="28">
                  <c:v>371186.36075628118</c:v>
                </c:pt>
                <c:pt idx="29">
                  <c:v>378610.08797140681</c:v>
                </c:pt>
              </c:numCache>
            </c:numRef>
          </c:val>
          <c:extLst>
            <c:ext xmlns:c16="http://schemas.microsoft.com/office/drawing/2014/chart" uri="{C3380CC4-5D6E-409C-BE32-E72D297353CC}">
              <c16:uniqueId val="{00000000-2861-6A43-99C8-BD97A1B58183}"/>
            </c:ext>
          </c:extLst>
        </c:ser>
        <c:ser>
          <c:idx val="1"/>
          <c:order val="1"/>
          <c:spPr>
            <a:ln>
              <a:prstDash val="solid"/>
            </a:ln>
          </c:spPr>
          <c:invertIfNegative val="0"/>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Flow'!$I$3:$I$32</c:f>
              <c:numCache>
                <c:formatCode>_([$€-2]\ * #,##0.00_);_([$€-2]\ * \(#,##0.00\);_([$€-2]\ * "-"??_);_(@_)</c:formatCode>
                <c:ptCount val="30"/>
                <c:pt idx="0">
                  <c:v>100000</c:v>
                </c:pt>
                <c:pt idx="1">
                  <c:v>102000</c:v>
                </c:pt>
                <c:pt idx="2">
                  <c:v>104040</c:v>
                </c:pt>
                <c:pt idx="3">
                  <c:v>106120.79999999999</c:v>
                </c:pt>
                <c:pt idx="4">
                  <c:v>108243.21599999999</c:v>
                </c:pt>
                <c:pt idx="5">
                  <c:v>110408.08032000001</c:v>
                </c:pt>
                <c:pt idx="6">
                  <c:v>112616.24192640001</c:v>
                </c:pt>
                <c:pt idx="7">
                  <c:v>114868.56676492799</c:v>
                </c:pt>
                <c:pt idx="8">
                  <c:v>117165.93810022656</c:v>
                </c:pt>
                <c:pt idx="9">
                  <c:v>119509.25686223108</c:v>
                </c:pt>
                <c:pt idx="10">
                  <c:v>121899.4419994757</c:v>
                </c:pt>
                <c:pt idx="11">
                  <c:v>124337.4308394652</c:v>
                </c:pt>
                <c:pt idx="12">
                  <c:v>126824.17945625453</c:v>
                </c:pt>
                <c:pt idx="13">
                  <c:v>129360.6630453796</c:v>
                </c:pt>
                <c:pt idx="14">
                  <c:v>131947.87630628722</c:v>
                </c:pt>
                <c:pt idx="15">
                  <c:v>134586.83383241293</c:v>
                </c:pt>
                <c:pt idx="16">
                  <c:v>137278.57050906122</c:v>
                </c:pt>
                <c:pt idx="17">
                  <c:v>140024.14191924245</c:v>
                </c:pt>
                <c:pt idx="18">
                  <c:v>142824.62475762726</c:v>
                </c:pt>
                <c:pt idx="19">
                  <c:v>145681.1172527798</c:v>
                </c:pt>
                <c:pt idx="20">
                  <c:v>148594.73959783543</c:v>
                </c:pt>
                <c:pt idx="21">
                  <c:v>151566.6343897921</c:v>
                </c:pt>
                <c:pt idx="22">
                  <c:v>154597.96707758796</c:v>
                </c:pt>
                <c:pt idx="23">
                  <c:v>157689.92641913972</c:v>
                </c:pt>
                <c:pt idx="24">
                  <c:v>160843.72494752251</c:v>
                </c:pt>
                <c:pt idx="25">
                  <c:v>164060.59944647294</c:v>
                </c:pt>
                <c:pt idx="26">
                  <c:v>167341.81143540243</c:v>
                </c:pt>
                <c:pt idx="27">
                  <c:v>170688.64766411044</c:v>
                </c:pt>
                <c:pt idx="28">
                  <c:v>174102.42061739269</c:v>
                </c:pt>
                <c:pt idx="29">
                  <c:v>177584.46902974055</c:v>
                </c:pt>
              </c:numCache>
            </c:numRef>
          </c:val>
          <c:extLst>
            <c:ext xmlns:c16="http://schemas.microsoft.com/office/drawing/2014/chart" uri="{C3380CC4-5D6E-409C-BE32-E72D297353CC}">
              <c16:uniqueId val="{00000001-2861-6A43-99C8-BD97A1B58183}"/>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Calendar Year</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Amount</a:t>
                </a:r>
              </a:p>
            </c:rich>
          </c:tx>
          <c:overlay val="0"/>
        </c:title>
        <c:numFmt formatCode="_([$€-2]\ * #,##0.00_);_([$€-2]\ * \(#,##0.00\);_([$€-2]\ * &quot;-&quot;??_);_(@_)"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NOI, EBIT, Net Cash After Debt</a:t>
            </a:r>
          </a:p>
        </c:rich>
      </c:tx>
      <c:overlay val="0"/>
    </c:title>
    <c:autoTitleDeleted val="0"/>
    <c:plotArea>
      <c:layout/>
      <c:lineChart>
        <c:grouping val="standard"/>
        <c:varyColors val="0"/>
        <c:ser>
          <c:idx val="0"/>
          <c:order val="0"/>
          <c:spPr>
            <a:ln>
              <a:prstDash val="solid"/>
            </a:ln>
          </c:spPr>
          <c:marker>
            <c:symbol val="none"/>
          </c:marker>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Flow'!$J$3:$J$32</c:f>
              <c:numCache>
                <c:formatCode>_([$€-2]\ * #,##0.00_);_([$€-2]\ * \(#,##0.00\);_([$€-2]\ * "-"??_);_(@_)</c:formatCode>
                <c:ptCount val="30"/>
                <c:pt idx="0">
                  <c:v>113200</c:v>
                </c:pt>
                <c:pt idx="1">
                  <c:v>115464</c:v>
                </c:pt>
                <c:pt idx="2">
                  <c:v>117773.28</c:v>
                </c:pt>
                <c:pt idx="3">
                  <c:v>120128.74559999999</c:v>
                </c:pt>
                <c:pt idx="4">
                  <c:v>122531.32051200001</c:v>
                </c:pt>
                <c:pt idx="5">
                  <c:v>124981.94692223999</c:v>
                </c:pt>
                <c:pt idx="6">
                  <c:v>127481.58586068479</c:v>
                </c:pt>
                <c:pt idx="7">
                  <c:v>130031.21757789847</c:v>
                </c:pt>
                <c:pt idx="8">
                  <c:v>132631.84192945645</c:v>
                </c:pt>
                <c:pt idx="9">
                  <c:v>135284.47876804561</c:v>
                </c:pt>
                <c:pt idx="10">
                  <c:v>137990.16834340652</c:v>
                </c:pt>
                <c:pt idx="11">
                  <c:v>140749.97171027461</c:v>
                </c:pt>
                <c:pt idx="12">
                  <c:v>143564.97114448011</c:v>
                </c:pt>
                <c:pt idx="13">
                  <c:v>146436.27056736973</c:v>
                </c:pt>
                <c:pt idx="14">
                  <c:v>149364.99597871714</c:v>
                </c:pt>
                <c:pt idx="15">
                  <c:v>152352.29589829143</c:v>
                </c:pt>
                <c:pt idx="16">
                  <c:v>155399.34181625728</c:v>
                </c:pt>
                <c:pt idx="17">
                  <c:v>158507.32865258242</c:v>
                </c:pt>
                <c:pt idx="18">
                  <c:v>161677.47522563406</c:v>
                </c:pt>
                <c:pt idx="19">
                  <c:v>164911.02473014678</c:v>
                </c:pt>
                <c:pt idx="20">
                  <c:v>168209.2452247497</c:v>
                </c:pt>
                <c:pt idx="21">
                  <c:v>171573.43012924469</c:v>
                </c:pt>
                <c:pt idx="22">
                  <c:v>175004.8987318296</c:v>
                </c:pt>
                <c:pt idx="23">
                  <c:v>178504.99670646613</c:v>
                </c:pt>
                <c:pt idx="24">
                  <c:v>182075.09664059547</c:v>
                </c:pt>
                <c:pt idx="25">
                  <c:v>185716.59857340739</c:v>
                </c:pt>
                <c:pt idx="26">
                  <c:v>189430.9305448755</c:v>
                </c:pt>
                <c:pt idx="27">
                  <c:v>193219.54915577304</c:v>
                </c:pt>
                <c:pt idx="28">
                  <c:v>197083.94013888849</c:v>
                </c:pt>
                <c:pt idx="29">
                  <c:v>201025.61894166627</c:v>
                </c:pt>
              </c:numCache>
            </c:numRef>
          </c:val>
          <c:smooth val="0"/>
          <c:extLst>
            <c:ext xmlns:c16="http://schemas.microsoft.com/office/drawing/2014/chart" uri="{C3380CC4-5D6E-409C-BE32-E72D297353CC}">
              <c16:uniqueId val="{00000000-8133-A14E-9EA2-5F7E34D46BD0}"/>
            </c:ext>
          </c:extLst>
        </c:ser>
        <c:ser>
          <c:idx val="1"/>
          <c:order val="1"/>
          <c:spPr>
            <a:ln>
              <a:prstDash val="solid"/>
            </a:ln>
          </c:spPr>
          <c:marker>
            <c:symbol val="none"/>
          </c:marker>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Flow'!$L$3:$L$32</c:f>
              <c:numCache>
                <c:formatCode>_([$€-2]\ * #,##0.00_);_([$€-2]\ * \(#,##0.00\);_([$€-2]\ * "-"??_);_(@_)</c:formatCode>
                <c:ptCount val="30"/>
                <c:pt idx="0">
                  <c:v>33200</c:v>
                </c:pt>
                <c:pt idx="1">
                  <c:v>35464</c:v>
                </c:pt>
                <c:pt idx="2">
                  <c:v>37773.279999999999</c:v>
                </c:pt>
                <c:pt idx="3">
                  <c:v>40128.745599999995</c:v>
                </c:pt>
                <c:pt idx="4">
                  <c:v>42531.320512000006</c:v>
                </c:pt>
                <c:pt idx="5">
                  <c:v>44981.946922239993</c:v>
                </c:pt>
                <c:pt idx="6">
                  <c:v>47481.585860684791</c:v>
                </c:pt>
                <c:pt idx="7">
                  <c:v>50031.217577898467</c:v>
                </c:pt>
                <c:pt idx="8">
                  <c:v>52631.841929456452</c:v>
                </c:pt>
                <c:pt idx="9">
                  <c:v>55284.478768045607</c:v>
                </c:pt>
                <c:pt idx="10">
                  <c:v>57990.16834340652</c:v>
                </c:pt>
                <c:pt idx="11">
                  <c:v>60749.971710274607</c:v>
                </c:pt>
                <c:pt idx="12">
                  <c:v>63564.971144480107</c:v>
                </c:pt>
                <c:pt idx="13">
                  <c:v>66436.270567369735</c:v>
                </c:pt>
                <c:pt idx="14">
                  <c:v>69364.995978717139</c:v>
                </c:pt>
                <c:pt idx="15">
                  <c:v>72352.295898291428</c:v>
                </c:pt>
                <c:pt idx="16">
                  <c:v>75399.341816257278</c:v>
                </c:pt>
                <c:pt idx="17">
                  <c:v>78507.328652582422</c:v>
                </c:pt>
                <c:pt idx="18">
                  <c:v>81677.475225634058</c:v>
                </c:pt>
                <c:pt idx="19">
                  <c:v>84911.024730146775</c:v>
                </c:pt>
                <c:pt idx="20">
                  <c:v>88209.245224749699</c:v>
                </c:pt>
                <c:pt idx="21">
                  <c:v>91573.430129244691</c:v>
                </c:pt>
                <c:pt idx="22">
                  <c:v>95004.898731829599</c:v>
                </c:pt>
                <c:pt idx="23">
                  <c:v>98504.996706466132</c:v>
                </c:pt>
                <c:pt idx="24">
                  <c:v>102075.09664059547</c:v>
                </c:pt>
                <c:pt idx="25">
                  <c:v>105716.59857340739</c:v>
                </c:pt>
                <c:pt idx="26">
                  <c:v>109430.9305448755</c:v>
                </c:pt>
                <c:pt idx="27">
                  <c:v>113219.54915577304</c:v>
                </c:pt>
                <c:pt idx="28">
                  <c:v>117083.94013888849</c:v>
                </c:pt>
                <c:pt idx="29">
                  <c:v>121025.61894166627</c:v>
                </c:pt>
              </c:numCache>
            </c:numRef>
          </c:val>
          <c:smooth val="0"/>
          <c:extLst>
            <c:ext xmlns:c16="http://schemas.microsoft.com/office/drawing/2014/chart" uri="{C3380CC4-5D6E-409C-BE32-E72D297353CC}">
              <c16:uniqueId val="{00000001-8133-A14E-9EA2-5F7E34D46BD0}"/>
            </c:ext>
          </c:extLst>
        </c:ser>
        <c:ser>
          <c:idx val="2"/>
          <c:order val="2"/>
          <c:spPr>
            <a:ln>
              <a:prstDash val="solid"/>
            </a:ln>
          </c:spPr>
          <c:marker>
            <c:symbol val="none"/>
          </c:marker>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Flow'!$R$3:$R$32</c:f>
              <c:numCache>
                <c:formatCode>_([$€-2]\ * #,##0.00_);_([$€-2]\ * \(#,##0.00\);_([$€-2]\ * "-"??_);_(@_)</c:formatCode>
                <c:ptCount val="30"/>
                <c:pt idx="0">
                  <c:v>59200</c:v>
                </c:pt>
                <c:pt idx="1">
                  <c:v>61464</c:v>
                </c:pt>
                <c:pt idx="2">
                  <c:v>32954.288383473177</c:v>
                </c:pt>
                <c:pt idx="3">
                  <c:v>35309.753983473165</c:v>
                </c:pt>
                <c:pt idx="4">
                  <c:v>37712.328895473176</c:v>
                </c:pt>
                <c:pt idx="5">
                  <c:v>40162.955305713163</c:v>
                </c:pt>
                <c:pt idx="6">
                  <c:v>42662.594244157961</c:v>
                </c:pt>
                <c:pt idx="7">
                  <c:v>45212.225961371645</c:v>
                </c:pt>
                <c:pt idx="8">
                  <c:v>47812.85031292963</c:v>
                </c:pt>
                <c:pt idx="9">
                  <c:v>50465.487151518784</c:v>
                </c:pt>
                <c:pt idx="10">
                  <c:v>53171.176726879705</c:v>
                </c:pt>
                <c:pt idx="11">
                  <c:v>55930.980093747778</c:v>
                </c:pt>
                <c:pt idx="12">
                  <c:v>58745.979527953277</c:v>
                </c:pt>
                <c:pt idx="13">
                  <c:v>61617.278950842912</c:v>
                </c:pt>
                <c:pt idx="14">
                  <c:v>64546.004362190317</c:v>
                </c:pt>
                <c:pt idx="15">
                  <c:v>67533.304281764606</c:v>
                </c:pt>
                <c:pt idx="16">
                  <c:v>70580.350199730456</c:v>
                </c:pt>
                <c:pt idx="17">
                  <c:v>73688.3370360556</c:v>
                </c:pt>
                <c:pt idx="18">
                  <c:v>76858.48360910725</c:v>
                </c:pt>
                <c:pt idx="19">
                  <c:v>80092.033113619953</c:v>
                </c:pt>
                <c:pt idx="20">
                  <c:v>83390.253608222876</c:v>
                </c:pt>
                <c:pt idx="21">
                  <c:v>86754.438512717868</c:v>
                </c:pt>
                <c:pt idx="22">
                  <c:v>90185.907115302762</c:v>
                </c:pt>
                <c:pt idx="23">
                  <c:v>93686.005089939295</c:v>
                </c:pt>
                <c:pt idx="24">
                  <c:v>97256.105024068645</c:v>
                </c:pt>
                <c:pt idx="25">
                  <c:v>100897.60695688057</c:v>
                </c:pt>
                <c:pt idx="26">
                  <c:v>104611.93892834868</c:v>
                </c:pt>
                <c:pt idx="27">
                  <c:v>108400.55753924622</c:v>
                </c:pt>
                <c:pt idx="28">
                  <c:v>112264.94852236166</c:v>
                </c:pt>
                <c:pt idx="29">
                  <c:v>116206.62732513945</c:v>
                </c:pt>
              </c:numCache>
            </c:numRef>
          </c:val>
          <c:smooth val="0"/>
          <c:extLst>
            <c:ext xmlns:c16="http://schemas.microsoft.com/office/drawing/2014/chart" uri="{C3380CC4-5D6E-409C-BE32-E72D297353CC}">
              <c16:uniqueId val="{00000002-8133-A14E-9EA2-5F7E34D46BD0}"/>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a:pPr>
                <a:r>
                  <a:rPr lang="en-US"/>
                  <a:t>Calendar Year</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Amount</a:t>
                </a:r>
              </a:p>
            </c:rich>
          </c:tx>
          <c:overlay val="0"/>
        </c:title>
        <c:numFmt formatCode="_([$€-2]\ * #,##0.00_);_([$€-2]\ * \(#,##0.00\);_([$€-2]\ * &quot;-&quot;??_);_(@_)"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DSCR over Time</a:t>
            </a:r>
          </a:p>
        </c:rich>
      </c:tx>
      <c:overlay val="0"/>
    </c:title>
    <c:autoTitleDeleted val="0"/>
    <c:plotArea>
      <c:layout/>
      <c:lineChart>
        <c:grouping val="standard"/>
        <c:varyColors val="0"/>
        <c:ser>
          <c:idx val="0"/>
          <c:order val="0"/>
          <c:spPr>
            <a:ln>
              <a:prstDash val="solid"/>
            </a:ln>
          </c:spPr>
          <c:marker>
            <c:symbol val="none"/>
          </c:marker>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Flow'!$U$3:$U$32</c:f>
              <c:numCache>
                <c:formatCode>#,##0.00</c:formatCode>
                <c:ptCount val="30"/>
                <c:pt idx="0">
                  <c:v>2.0962962962962961</c:v>
                </c:pt>
                <c:pt idx="1">
                  <c:v>2.1382222222222222</c:v>
                </c:pt>
                <c:pt idx="2">
                  <c:v>1.3885248781600947</c:v>
                </c:pt>
                <c:pt idx="3">
                  <c:v>1.4162953757232966</c:v>
                </c:pt>
                <c:pt idx="4">
                  <c:v>1.4446212832377625</c:v>
                </c:pt>
                <c:pt idx="5">
                  <c:v>1.4735137089025176</c:v>
                </c:pt>
                <c:pt idx="6">
                  <c:v>1.502983983080568</c:v>
                </c:pt>
                <c:pt idx="7">
                  <c:v>1.5330436627421791</c:v>
                </c:pt>
                <c:pt idx="8">
                  <c:v>1.563704535997023</c:v>
                </c:pt>
                <c:pt idx="9">
                  <c:v>1.5949786267169637</c:v>
                </c:pt>
                <c:pt idx="10">
                  <c:v>1.6268781992513031</c:v>
                </c:pt>
                <c:pt idx="11">
                  <c:v>1.6594157632363284</c:v>
                </c:pt>
                <c:pt idx="12">
                  <c:v>1.6926040785010552</c:v>
                </c:pt>
                <c:pt idx="13">
                  <c:v>1.7264561600710766</c:v>
                </c:pt>
                <c:pt idx="14">
                  <c:v>1.7609852832724981</c:v>
                </c:pt>
                <c:pt idx="15">
                  <c:v>1.7962049889379477</c:v>
                </c:pt>
                <c:pt idx="16">
                  <c:v>1.8321290887167068</c:v>
                </c:pt>
                <c:pt idx="17">
                  <c:v>1.8687716704910409</c:v>
                </c:pt>
                <c:pt idx="18">
                  <c:v>1.9061471039008615</c:v>
                </c:pt>
                <c:pt idx="19">
                  <c:v>1.9442700459788793</c:v>
                </c:pt>
                <c:pt idx="20">
                  <c:v>1.9831554468984567</c:v>
                </c:pt>
                <c:pt idx="21">
                  <c:v>2.0228185558364258</c:v>
                </c:pt>
                <c:pt idx="22">
                  <c:v>2.0632749269531545</c:v>
                </c:pt>
                <c:pt idx="23">
                  <c:v>2.1045404254922166</c:v>
                </c:pt>
                <c:pt idx="24">
                  <c:v>2.1466312340020615</c:v>
                </c:pt>
                <c:pt idx="25">
                  <c:v>2.1895638586821029</c:v>
                </c:pt>
                <c:pt idx="26">
                  <c:v>2.2333551358557444</c:v>
                </c:pt>
                <c:pt idx="27">
                  <c:v>2.2780222385728597</c:v>
                </c:pt>
                <c:pt idx="28">
                  <c:v>2.3235826833443167</c:v>
                </c:pt>
                <c:pt idx="29">
                  <c:v>2.370054337011203</c:v>
                </c:pt>
              </c:numCache>
            </c:numRef>
          </c:val>
          <c:smooth val="0"/>
          <c:extLst>
            <c:ext xmlns:c16="http://schemas.microsoft.com/office/drawing/2014/chart" uri="{C3380CC4-5D6E-409C-BE32-E72D297353CC}">
              <c16:uniqueId val="{00000000-4A72-C740-8B40-71043B337D63}"/>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a:pPr>
                <a:r>
                  <a:rPr lang="en-US"/>
                  <a:t>Calendar Year</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DSCR</a:t>
                </a:r>
              </a:p>
            </c:rich>
          </c:tx>
          <c:overlay val="0"/>
        </c:title>
        <c:numFmt formatCode="#,##0.00"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Debt Service Breakdown (Interest vs Principal)</a:t>
            </a:r>
          </a:p>
        </c:rich>
      </c:tx>
      <c:overlay val="0"/>
    </c:title>
    <c:autoTitleDeleted val="0"/>
    <c:plotArea>
      <c:layout/>
      <c:barChart>
        <c:barDir val="col"/>
        <c:grouping val="stacked"/>
        <c:varyColors val="0"/>
        <c:ser>
          <c:idx val="0"/>
          <c:order val="0"/>
          <c:spPr>
            <a:ln>
              <a:prstDash val="solid"/>
            </a:ln>
          </c:spPr>
          <c:invertIfNegative val="0"/>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Flow'!$M$3:$M$32</c:f>
              <c:numCache>
                <c:formatCode>_([$€-2]\ * #,##0.00_);_([$€-2]\ * \(#,##0.00\);_([$€-2]\ * "-"??_);_(@_)</c:formatCode>
                <c:ptCount val="30"/>
                <c:pt idx="0">
                  <c:v>54000</c:v>
                </c:pt>
                <c:pt idx="1">
                  <c:v>54000</c:v>
                </c:pt>
                <c:pt idx="2">
                  <c:v>54000</c:v>
                </c:pt>
                <c:pt idx="3">
                  <c:v>52613.145377256289</c:v>
                </c:pt>
                <c:pt idx="4">
                  <c:v>51163.882296489108</c:v>
                </c:pt>
                <c:pt idx="5">
                  <c:v>49649.402377087412</c:v>
                </c:pt>
                <c:pt idx="6">
                  <c:v>48066.770861312638</c:v>
                </c:pt>
                <c:pt idx="7">
                  <c:v>46412.920927327999</c:v>
                </c:pt>
                <c:pt idx="8">
                  <c:v>44684.647746314047</c:v>
                </c:pt>
                <c:pt idx="9">
                  <c:v>42878.602272154472</c:v>
                </c:pt>
                <c:pt idx="10">
                  <c:v>40991.284751657724</c:v>
                </c:pt>
                <c:pt idx="11">
                  <c:v>39019.037942738614</c:v>
                </c:pt>
                <c:pt idx="12">
                  <c:v>36958.040027418137</c:v>
                </c:pt>
                <c:pt idx="13">
                  <c:v>34804.297205908253</c:v>
                </c:pt>
                <c:pt idx="14">
                  <c:v>32553.635957430419</c:v>
                </c:pt>
                <c:pt idx="15">
                  <c:v>30201.694952771079</c:v>
                </c:pt>
                <c:pt idx="16">
                  <c:v>27743.916602902071</c:v>
                </c:pt>
                <c:pt idx="17">
                  <c:v>25175.538227288958</c:v>
                </c:pt>
                <c:pt idx="18">
                  <c:v>22491.582824773253</c:v>
                </c:pt>
                <c:pt idx="19">
                  <c:v>19686.849429144342</c:v>
                </c:pt>
                <c:pt idx="20">
                  <c:v>16755.903030712128</c:v>
                </c:pt>
                <c:pt idx="21">
                  <c:v>13693.064044350469</c:v>
                </c:pt>
                <c:pt idx="22">
                  <c:v>10492.397303602533</c:v>
                </c:pt>
                <c:pt idx="23">
                  <c:v>7147.7005595209394</c:v>
                </c:pt>
                <c:pt idx="24">
                  <c:v>3652.492461955675</c:v>
                </c:pt>
                <c:pt idx="25">
                  <c:v>0</c:v>
                </c:pt>
                <c:pt idx="26">
                  <c:v>0</c:v>
                </c:pt>
                <c:pt idx="27">
                  <c:v>0</c:v>
                </c:pt>
                <c:pt idx="28">
                  <c:v>0</c:v>
                </c:pt>
                <c:pt idx="29">
                  <c:v>0</c:v>
                </c:pt>
              </c:numCache>
            </c:numRef>
          </c:val>
          <c:extLst>
            <c:ext xmlns:c16="http://schemas.microsoft.com/office/drawing/2014/chart" uri="{C3380CC4-5D6E-409C-BE32-E72D297353CC}">
              <c16:uniqueId val="{00000000-9B1F-8B4B-A2E4-51D1523BB582}"/>
            </c:ext>
          </c:extLst>
        </c:ser>
        <c:ser>
          <c:idx val="1"/>
          <c:order val="1"/>
          <c:spPr>
            <a:ln>
              <a:prstDash val="solid"/>
            </a:ln>
          </c:spPr>
          <c:invertIfNegative val="0"/>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Flow'!$N$3:$N$32</c:f>
              <c:numCache>
                <c:formatCode>_([$€-2]\ * #,##0.00_);_([$€-2]\ * \(#,##0.00\);_([$€-2]\ * "-"??_);_(@_)</c:formatCode>
                <c:ptCount val="30"/>
                <c:pt idx="0">
                  <c:v>0</c:v>
                </c:pt>
                <c:pt idx="1">
                  <c:v>0</c:v>
                </c:pt>
                <c:pt idx="2">
                  <c:v>30818.991616526822</c:v>
                </c:pt>
                <c:pt idx="3">
                  <c:v>32205.846239270533</c:v>
                </c:pt>
                <c:pt idx="4">
                  <c:v>33655.109320037714</c:v>
                </c:pt>
                <c:pt idx="5">
                  <c:v>35169.58923943941</c:v>
                </c:pt>
                <c:pt idx="6">
                  <c:v>36752.220755214184</c:v>
                </c:pt>
                <c:pt idx="7">
                  <c:v>38406.070689198823</c:v>
                </c:pt>
                <c:pt idx="8">
                  <c:v>40134.343870212775</c:v>
                </c:pt>
                <c:pt idx="9">
                  <c:v>41940.38934437235</c:v>
                </c:pt>
                <c:pt idx="10">
                  <c:v>43827.706864869098</c:v>
                </c:pt>
                <c:pt idx="11">
                  <c:v>45799.953673788208</c:v>
                </c:pt>
                <c:pt idx="12">
                  <c:v>47860.951589108685</c:v>
                </c:pt>
                <c:pt idx="13">
                  <c:v>50014.694410618569</c:v>
                </c:pt>
                <c:pt idx="14">
                  <c:v>52265.3556590964</c:v>
                </c:pt>
                <c:pt idx="15">
                  <c:v>54617.29666375574</c:v>
                </c:pt>
                <c:pt idx="16">
                  <c:v>57075.075013624752</c:v>
                </c:pt>
                <c:pt idx="17">
                  <c:v>59643.453389237868</c:v>
                </c:pt>
                <c:pt idx="18">
                  <c:v>62327.408791753565</c:v>
                </c:pt>
                <c:pt idx="19">
                  <c:v>65132.14218738248</c:v>
                </c:pt>
                <c:pt idx="20">
                  <c:v>68063.088585814694</c:v>
                </c:pt>
                <c:pt idx="21">
                  <c:v>71125.927572176355</c:v>
                </c:pt>
                <c:pt idx="22">
                  <c:v>74326.594312924295</c:v>
                </c:pt>
                <c:pt idx="23">
                  <c:v>77671.291057005888</c:v>
                </c:pt>
                <c:pt idx="24">
                  <c:v>81166.499154571153</c:v>
                </c:pt>
                <c:pt idx="25">
                  <c:v>84818.991616526822</c:v>
                </c:pt>
                <c:pt idx="26">
                  <c:v>84818.991616526822</c:v>
                </c:pt>
                <c:pt idx="27">
                  <c:v>84818.991616526822</c:v>
                </c:pt>
                <c:pt idx="28">
                  <c:v>84818.991616526822</c:v>
                </c:pt>
                <c:pt idx="29">
                  <c:v>84818.991616526822</c:v>
                </c:pt>
              </c:numCache>
            </c:numRef>
          </c:val>
          <c:extLst>
            <c:ext xmlns:c16="http://schemas.microsoft.com/office/drawing/2014/chart" uri="{C3380CC4-5D6E-409C-BE32-E72D297353CC}">
              <c16:uniqueId val="{00000001-9B1F-8B4B-A2E4-51D1523BB582}"/>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Calendar Year</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Amount</a:t>
                </a:r>
              </a:p>
            </c:rich>
          </c:tx>
          <c:overlay val="0"/>
        </c:title>
        <c:numFmt formatCode="_([$€-2]\ * #,##0.00_);_([$€-2]\ * \(#,##0.00\);_([$€-2]\ * &quot;-&quot;??_);_(@_)"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Outstanding Loan Balance</a:t>
            </a:r>
          </a:p>
        </c:rich>
      </c:tx>
      <c:overlay val="0"/>
    </c:title>
    <c:autoTitleDeleted val="0"/>
    <c:plotArea>
      <c:layout/>
      <c:lineChart>
        <c:grouping val="standard"/>
        <c:varyColors val="0"/>
        <c:ser>
          <c:idx val="0"/>
          <c:order val="0"/>
          <c:spPr>
            <a:ln>
              <a:prstDash val="solid"/>
            </a:ln>
          </c:spPr>
          <c:marker>
            <c:symbol val="none"/>
          </c:marker>
          <c:cat>
            <c:numRef>
              <c:f>Loan!$A$3:$A$32</c:f>
              <c:numCache>
                <c:formatCode>0</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Loan!$F$3:$F$32</c:f>
              <c:numCache>
                <c:formatCode>_([$€-2]\ * #,##0.00_);_([$€-2]\ * \(#,##0.00\);_([$€-2]\ * "-"??_);_(@_)</c:formatCode>
                <c:ptCount val="30"/>
                <c:pt idx="0">
                  <c:v>1200000</c:v>
                </c:pt>
                <c:pt idx="1">
                  <c:v>1200000</c:v>
                </c:pt>
                <c:pt idx="2">
                  <c:v>1169181.0083834731</c:v>
                </c:pt>
                <c:pt idx="3">
                  <c:v>1136975.1621442025</c:v>
                </c:pt>
                <c:pt idx="4">
                  <c:v>1103320.0528241647</c:v>
                </c:pt>
                <c:pt idx="5">
                  <c:v>1068150.4635847253</c:v>
                </c:pt>
                <c:pt idx="6">
                  <c:v>1031398.2428295111</c:v>
                </c:pt>
                <c:pt idx="7">
                  <c:v>992992.17214031226</c:v>
                </c:pt>
                <c:pt idx="8">
                  <c:v>952857.82827009948</c:v>
                </c:pt>
                <c:pt idx="9">
                  <c:v>910917.43892572715</c:v>
                </c:pt>
                <c:pt idx="10">
                  <c:v>867089.73206085805</c:v>
                </c:pt>
                <c:pt idx="11">
                  <c:v>821289.77838706982</c:v>
                </c:pt>
                <c:pt idx="12">
                  <c:v>773428.82679796114</c:v>
                </c:pt>
                <c:pt idx="13">
                  <c:v>723414.13238734263</c:v>
                </c:pt>
                <c:pt idx="14">
                  <c:v>671148.77672824624</c:v>
                </c:pt>
                <c:pt idx="15">
                  <c:v>616531.48006449046</c:v>
                </c:pt>
                <c:pt idx="16">
                  <c:v>559456.40505086572</c:v>
                </c:pt>
                <c:pt idx="17">
                  <c:v>499812.95166162786</c:v>
                </c:pt>
                <c:pt idx="18">
                  <c:v>437485.54286987428</c:v>
                </c:pt>
                <c:pt idx="19">
                  <c:v>372353.40068249177</c:v>
                </c:pt>
                <c:pt idx="20">
                  <c:v>304290.31209667708</c:v>
                </c:pt>
                <c:pt idx="21">
                  <c:v>233164.38452450073</c:v>
                </c:pt>
                <c:pt idx="22">
                  <c:v>158837.79021157644</c:v>
                </c:pt>
                <c:pt idx="23">
                  <c:v>81166.499154570556</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5CC0-8649-8456-550D3401E760}"/>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a:pPr>
                <a:r>
                  <a:rPr lang="en-US"/>
                  <a:t>Year</a:t>
                </a:r>
              </a:p>
            </c:rich>
          </c:tx>
          <c:overlay val="0"/>
        </c:title>
        <c:numFmt formatCode="0"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Balance</a:t>
                </a:r>
              </a:p>
            </c:rich>
          </c:tx>
          <c:overlay val="0"/>
        </c:title>
        <c:numFmt formatCode="_([$€-2]\ * #,##0.00_);_([$€-2]\ * \(#,##0.00\);_([$€-2]\ * &quot;-&quot;??_);_(@_)"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Equity Cash Flow</a:t>
            </a:r>
          </a:p>
        </c:rich>
      </c:tx>
      <c:overlay val="0"/>
    </c:title>
    <c:autoTitleDeleted val="0"/>
    <c:plotArea>
      <c:layout/>
      <c:areaChart>
        <c:grouping val="standard"/>
        <c:varyColors val="0"/>
        <c:ser>
          <c:idx val="0"/>
          <c:order val="0"/>
          <c:spPr>
            <a:ln>
              <a:prstDash val="solid"/>
            </a:ln>
          </c:spPr>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Flow'!$T$3:$T$32</c:f>
              <c:numCache>
                <c:formatCode>_([$€-2]\ * #,##0.00_);_([$€-2]\ * \(#,##0.00\);_([$€-2]\ * "-"??_);_(@_)</c:formatCode>
                <c:ptCount val="30"/>
                <c:pt idx="0">
                  <c:v>-1140800</c:v>
                </c:pt>
                <c:pt idx="1">
                  <c:v>-1079336</c:v>
                </c:pt>
                <c:pt idx="2">
                  <c:v>-1046381.7116165268</c:v>
                </c:pt>
                <c:pt idx="3">
                  <c:v>-1011071.9576330537</c:v>
                </c:pt>
                <c:pt idx="4">
                  <c:v>-973359.6287375805</c:v>
                </c:pt>
                <c:pt idx="5">
                  <c:v>-933196.67343186738</c:v>
                </c:pt>
                <c:pt idx="6">
                  <c:v>-890534.07918770937</c:v>
                </c:pt>
                <c:pt idx="7">
                  <c:v>-845321.8532263377</c:v>
                </c:pt>
                <c:pt idx="8">
                  <c:v>-797509.0029134081</c:v>
                </c:pt>
                <c:pt idx="9">
                  <c:v>-747043.51576188928</c:v>
                </c:pt>
                <c:pt idx="10">
                  <c:v>-693872.33903500962</c:v>
                </c:pt>
                <c:pt idx="11">
                  <c:v>-637941.35894126189</c:v>
                </c:pt>
                <c:pt idx="12">
                  <c:v>-579195.37941330858</c:v>
                </c:pt>
                <c:pt idx="13">
                  <c:v>-517578.10046246566</c:v>
                </c:pt>
                <c:pt idx="14">
                  <c:v>-453032.09610027535</c:v>
                </c:pt>
                <c:pt idx="15">
                  <c:v>-385498.79181851074</c:v>
                </c:pt>
                <c:pt idx="16">
                  <c:v>-314918.44161878026</c:v>
                </c:pt>
                <c:pt idx="17">
                  <c:v>-241230.10458272466</c:v>
                </c:pt>
                <c:pt idx="18">
                  <c:v>-164371.62097361742</c:v>
                </c:pt>
                <c:pt idx="19">
                  <c:v>-84279.587859997468</c:v>
                </c:pt>
                <c:pt idx="20">
                  <c:v>-889.33425177459139</c:v>
                </c:pt>
                <c:pt idx="21">
                  <c:v>85865.104260943277</c:v>
                </c:pt>
                <c:pt idx="22">
                  <c:v>176051.01137624605</c:v>
                </c:pt>
                <c:pt idx="23">
                  <c:v>269737.01646618533</c:v>
                </c:pt>
                <c:pt idx="24">
                  <c:v>366993.12149025395</c:v>
                </c:pt>
                <c:pt idx="25">
                  <c:v>467890.72844713449</c:v>
                </c:pt>
                <c:pt idx="26">
                  <c:v>572502.6673754832</c:v>
                </c:pt>
                <c:pt idx="27">
                  <c:v>680903.22491472936</c:v>
                </c:pt>
                <c:pt idx="28">
                  <c:v>793168.17343709106</c:v>
                </c:pt>
                <c:pt idx="29">
                  <c:v>909374.80076223053</c:v>
                </c:pt>
              </c:numCache>
            </c:numRef>
          </c:val>
          <c:extLst>
            <c:ext xmlns:c16="http://schemas.microsoft.com/office/drawing/2014/chart" uri="{C3380CC4-5D6E-409C-BE32-E72D297353CC}">
              <c16:uniqueId val="{00000000-2561-D546-8865-4685690862B7}"/>
            </c:ext>
          </c:extLst>
        </c:ser>
        <c:dLbls>
          <c:showLegendKey val="0"/>
          <c:showVal val="0"/>
          <c:showCatName val="0"/>
          <c:showSerName val="0"/>
          <c:showPercent val="0"/>
          <c:showBubbleSize val="0"/>
        </c:dLbls>
        <c:axId val="10"/>
        <c:axId val="100"/>
      </c:areaChart>
      <c:catAx>
        <c:axId val="10"/>
        <c:scaling>
          <c:orientation val="minMax"/>
        </c:scaling>
        <c:delete val="0"/>
        <c:axPos val="b"/>
        <c:title>
          <c:tx>
            <c:rich>
              <a:bodyPr/>
              <a:lstStyle/>
              <a:p>
                <a:pPr>
                  <a:defRPr/>
                </a:pPr>
                <a:r>
                  <a:rPr lang="en-US"/>
                  <a:t>Calendar Year</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Cumulative Equity CF</a:t>
                </a:r>
              </a:p>
            </c:rich>
          </c:tx>
          <c:overlay val="0"/>
        </c:title>
        <c:numFmt formatCode="_([$€-2]\ * #,##0.00_);_([$€-2]\ * \(#,##0.00\);_([$€-2]\ * &quot;-&quot;??_);_(@_)"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Year 1 Revenue Mix</a:t>
            </a:r>
          </a:p>
        </c:rich>
      </c:tx>
      <c:overlay val="0"/>
    </c:title>
    <c:autoTitleDeleted val="0"/>
    <c:plotArea>
      <c:layout/>
      <c:pieChart>
        <c:varyColors val="1"/>
        <c:ser>
          <c:idx val="0"/>
          <c:order val="0"/>
          <c:spPr>
            <a:ln>
              <a:prstDash val="solid"/>
            </a:ln>
          </c:spPr>
          <c:cat>
            <c:strRef>
              <c:f>'Cash Flow'!$C$1:$E$1</c:f>
              <c:strCache>
                <c:ptCount val="3"/>
                <c:pt idx="0">
                  <c:v>Grants</c:v>
                </c:pt>
                <c:pt idx="1">
                  <c:v>Rent Revenue</c:v>
                </c:pt>
                <c:pt idx="2">
                  <c:v>Business Revenue</c:v>
                </c:pt>
              </c:strCache>
            </c:strRef>
          </c:cat>
          <c:val>
            <c:numRef>
              <c:f>'Cash Flow'!$C$3</c:f>
              <c:numCache>
                <c:formatCode>_([$€-2]\ * #,##0.00_);_([$€-2]\ * \(#,##0.00\);_([$€-2]\ * "-"??_);_(@_)</c:formatCode>
                <c:ptCount val="1"/>
                <c:pt idx="0">
                  <c:v>0</c:v>
                </c:pt>
              </c:numCache>
            </c:numRef>
          </c:val>
          <c:extLst>
            <c:ext xmlns:c16="http://schemas.microsoft.com/office/drawing/2014/chart" uri="{C3380CC4-5D6E-409C-BE32-E72D297353CC}">
              <c16:uniqueId val="{00000000-7B5C-ED44-B697-E902EAF45035}"/>
            </c:ext>
          </c:extLst>
        </c:ser>
        <c:ser>
          <c:idx val="1"/>
          <c:order val="1"/>
          <c:spPr>
            <a:ln>
              <a:prstDash val="solid"/>
            </a:ln>
          </c:spPr>
          <c:cat>
            <c:strRef>
              <c:f>'Cash Flow'!$C$1:$E$1</c:f>
              <c:strCache>
                <c:ptCount val="3"/>
                <c:pt idx="0">
                  <c:v>Grants</c:v>
                </c:pt>
                <c:pt idx="1">
                  <c:v>Rent Revenue</c:v>
                </c:pt>
                <c:pt idx="2">
                  <c:v>Business Revenue</c:v>
                </c:pt>
              </c:strCache>
            </c:strRef>
          </c:cat>
          <c:val>
            <c:numRef>
              <c:f>'Cash Flow'!$D$3</c:f>
              <c:numCache>
                <c:formatCode>_([$€-2]\ * #,##0.00_);_([$€-2]\ * \(#,##0.00\);_([$€-2]\ * "-"??_);_(@_)</c:formatCode>
                <c:ptCount val="1"/>
                <c:pt idx="0">
                  <c:v>163200</c:v>
                </c:pt>
              </c:numCache>
            </c:numRef>
          </c:val>
          <c:extLst>
            <c:ext xmlns:c16="http://schemas.microsoft.com/office/drawing/2014/chart" uri="{C3380CC4-5D6E-409C-BE32-E72D297353CC}">
              <c16:uniqueId val="{00000001-7B5C-ED44-B697-E902EAF45035}"/>
            </c:ext>
          </c:extLst>
        </c:ser>
        <c:ser>
          <c:idx val="2"/>
          <c:order val="2"/>
          <c:spPr>
            <a:ln>
              <a:prstDash val="solid"/>
            </a:ln>
          </c:spPr>
          <c:cat>
            <c:strRef>
              <c:f>'Cash Flow'!$C$1:$E$1</c:f>
              <c:strCache>
                <c:ptCount val="3"/>
                <c:pt idx="0">
                  <c:v>Grants</c:v>
                </c:pt>
                <c:pt idx="1">
                  <c:v>Rent Revenue</c:v>
                </c:pt>
                <c:pt idx="2">
                  <c:v>Business Revenue</c:v>
                </c:pt>
              </c:strCache>
            </c:strRef>
          </c:cat>
          <c:val>
            <c:numRef>
              <c:f>'Cash Flow'!$E$3</c:f>
              <c:numCache>
                <c:formatCode>_([$€-2]\ * #,##0.00_);_([$€-2]\ * \(#,##0.00\);_([$€-2]\ * "-"??_);_(@_)</c:formatCode>
                <c:ptCount val="1"/>
                <c:pt idx="0">
                  <c:v>50000</c:v>
                </c:pt>
              </c:numCache>
            </c:numRef>
          </c:val>
          <c:extLst>
            <c:ext xmlns:c16="http://schemas.microsoft.com/office/drawing/2014/chart" uri="{C3380CC4-5D6E-409C-BE32-E72D297353CC}">
              <c16:uniqueId val="{00000002-7B5C-ED44-B697-E902EAF45035}"/>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NOI vs Debt Service</a:t>
            </a:r>
          </a:p>
        </c:rich>
      </c:tx>
      <c:overlay val="0"/>
    </c:title>
    <c:autoTitleDeleted val="0"/>
    <c:plotArea>
      <c:layout/>
      <c:barChart>
        <c:barDir val="col"/>
        <c:grouping val="clustered"/>
        <c:varyColors val="0"/>
        <c:ser>
          <c:idx val="0"/>
          <c:order val="0"/>
          <c:spPr>
            <a:ln>
              <a:prstDash val="solid"/>
            </a:ln>
          </c:spPr>
          <c:invertIfNegative val="0"/>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Flow'!$J$3:$J$32</c:f>
              <c:numCache>
                <c:formatCode>_([$€-2]\ * #,##0.00_);_([$€-2]\ * \(#,##0.00\);_([$€-2]\ * "-"??_);_(@_)</c:formatCode>
                <c:ptCount val="30"/>
                <c:pt idx="0">
                  <c:v>113200</c:v>
                </c:pt>
                <c:pt idx="1">
                  <c:v>115464</c:v>
                </c:pt>
                <c:pt idx="2">
                  <c:v>117773.28</c:v>
                </c:pt>
                <c:pt idx="3">
                  <c:v>120128.74559999999</c:v>
                </c:pt>
                <c:pt idx="4">
                  <c:v>122531.32051200001</c:v>
                </c:pt>
                <c:pt idx="5">
                  <c:v>124981.94692223999</c:v>
                </c:pt>
                <c:pt idx="6">
                  <c:v>127481.58586068479</c:v>
                </c:pt>
                <c:pt idx="7">
                  <c:v>130031.21757789847</c:v>
                </c:pt>
                <c:pt idx="8">
                  <c:v>132631.84192945645</c:v>
                </c:pt>
                <c:pt idx="9">
                  <c:v>135284.47876804561</c:v>
                </c:pt>
                <c:pt idx="10">
                  <c:v>137990.16834340652</c:v>
                </c:pt>
                <c:pt idx="11">
                  <c:v>140749.97171027461</c:v>
                </c:pt>
                <c:pt idx="12">
                  <c:v>143564.97114448011</c:v>
                </c:pt>
                <c:pt idx="13">
                  <c:v>146436.27056736973</c:v>
                </c:pt>
                <c:pt idx="14">
                  <c:v>149364.99597871714</c:v>
                </c:pt>
                <c:pt idx="15">
                  <c:v>152352.29589829143</c:v>
                </c:pt>
                <c:pt idx="16">
                  <c:v>155399.34181625728</c:v>
                </c:pt>
                <c:pt idx="17">
                  <c:v>158507.32865258242</c:v>
                </c:pt>
                <c:pt idx="18">
                  <c:v>161677.47522563406</c:v>
                </c:pt>
                <c:pt idx="19">
                  <c:v>164911.02473014678</c:v>
                </c:pt>
                <c:pt idx="20">
                  <c:v>168209.2452247497</c:v>
                </c:pt>
                <c:pt idx="21">
                  <c:v>171573.43012924469</c:v>
                </c:pt>
                <c:pt idx="22">
                  <c:v>175004.8987318296</c:v>
                </c:pt>
                <c:pt idx="23">
                  <c:v>178504.99670646613</c:v>
                </c:pt>
                <c:pt idx="24">
                  <c:v>182075.09664059547</c:v>
                </c:pt>
                <c:pt idx="25">
                  <c:v>185716.59857340739</c:v>
                </c:pt>
                <c:pt idx="26">
                  <c:v>189430.9305448755</c:v>
                </c:pt>
                <c:pt idx="27">
                  <c:v>193219.54915577304</c:v>
                </c:pt>
                <c:pt idx="28">
                  <c:v>197083.94013888849</c:v>
                </c:pt>
                <c:pt idx="29">
                  <c:v>201025.61894166627</c:v>
                </c:pt>
              </c:numCache>
            </c:numRef>
          </c:val>
          <c:extLst>
            <c:ext xmlns:c16="http://schemas.microsoft.com/office/drawing/2014/chart" uri="{C3380CC4-5D6E-409C-BE32-E72D297353CC}">
              <c16:uniqueId val="{00000000-CDE5-8141-AAC8-11B7BECA9D32}"/>
            </c:ext>
          </c:extLst>
        </c:ser>
        <c:ser>
          <c:idx val="1"/>
          <c:order val="1"/>
          <c:spPr>
            <a:ln>
              <a:prstDash val="solid"/>
            </a:ln>
          </c:spPr>
          <c:invertIfNegative val="0"/>
          <c:cat>
            <c:numRef>
              <c:f>'Cash Flow'!$B$3:$B$32</c:f>
              <c:numCache>
                <c:formatCode>General</c:formatCode>
                <c:ptCount val="30"/>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numCache>
            </c:numRef>
          </c:cat>
          <c:val>
            <c:numRef>
              <c:f>'Cash Flow'!$O$3:$O$32</c:f>
              <c:numCache>
                <c:formatCode>_([$€-2]\ * #,##0.00_);_([$€-2]\ * \(#,##0.00\);_([$€-2]\ * "-"??_);_(@_)</c:formatCode>
                <c:ptCount val="30"/>
                <c:pt idx="0">
                  <c:v>54000</c:v>
                </c:pt>
                <c:pt idx="1">
                  <c:v>54000</c:v>
                </c:pt>
                <c:pt idx="2">
                  <c:v>84818.991616526822</c:v>
                </c:pt>
                <c:pt idx="3">
                  <c:v>84818.991616526822</c:v>
                </c:pt>
                <c:pt idx="4">
                  <c:v>84818.991616526822</c:v>
                </c:pt>
                <c:pt idx="5">
                  <c:v>84818.991616526822</c:v>
                </c:pt>
                <c:pt idx="6">
                  <c:v>84818.991616526822</c:v>
                </c:pt>
                <c:pt idx="7">
                  <c:v>84818.991616526822</c:v>
                </c:pt>
                <c:pt idx="8">
                  <c:v>84818.991616526822</c:v>
                </c:pt>
                <c:pt idx="9">
                  <c:v>84818.991616526822</c:v>
                </c:pt>
                <c:pt idx="10">
                  <c:v>84818.991616526822</c:v>
                </c:pt>
                <c:pt idx="11">
                  <c:v>84818.991616526822</c:v>
                </c:pt>
                <c:pt idx="12">
                  <c:v>84818.991616526822</c:v>
                </c:pt>
                <c:pt idx="13">
                  <c:v>84818.991616526822</c:v>
                </c:pt>
                <c:pt idx="14">
                  <c:v>84818.991616526822</c:v>
                </c:pt>
                <c:pt idx="15">
                  <c:v>84818.991616526822</c:v>
                </c:pt>
                <c:pt idx="16">
                  <c:v>84818.991616526822</c:v>
                </c:pt>
                <c:pt idx="17">
                  <c:v>84818.991616526822</c:v>
                </c:pt>
                <c:pt idx="18">
                  <c:v>84818.991616526822</c:v>
                </c:pt>
                <c:pt idx="19">
                  <c:v>84818.991616526822</c:v>
                </c:pt>
                <c:pt idx="20">
                  <c:v>84818.991616526822</c:v>
                </c:pt>
                <c:pt idx="21">
                  <c:v>84818.991616526822</c:v>
                </c:pt>
                <c:pt idx="22">
                  <c:v>84818.991616526822</c:v>
                </c:pt>
                <c:pt idx="23">
                  <c:v>84818.991616526822</c:v>
                </c:pt>
                <c:pt idx="24">
                  <c:v>84818.991616526822</c:v>
                </c:pt>
                <c:pt idx="25">
                  <c:v>84818.991616526822</c:v>
                </c:pt>
                <c:pt idx="26">
                  <c:v>84818.991616526822</c:v>
                </c:pt>
                <c:pt idx="27">
                  <c:v>84818.991616526822</c:v>
                </c:pt>
                <c:pt idx="28">
                  <c:v>84818.991616526822</c:v>
                </c:pt>
                <c:pt idx="29">
                  <c:v>84818.991616526822</c:v>
                </c:pt>
              </c:numCache>
            </c:numRef>
          </c:val>
          <c:extLst>
            <c:ext xmlns:c16="http://schemas.microsoft.com/office/drawing/2014/chart" uri="{C3380CC4-5D6E-409C-BE32-E72D297353CC}">
              <c16:uniqueId val="{00000001-CDE5-8141-AAC8-11B7BECA9D32}"/>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Calendar Year</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Amount</a:t>
                </a:r>
              </a:p>
            </c:rich>
          </c:tx>
          <c:overlay val="0"/>
        </c:title>
        <c:numFmt formatCode="_([$€-2]\ * #,##0.00_);_([$€-2]\ * \(#,##0.00\);_([$€-2]\ * &quot;-&quot;??_);_(@_)"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32</xdr:col>
      <xdr:colOff>228600</xdr:colOff>
      <xdr:row>5</xdr:row>
      <xdr:rowOff>567579</xdr:rowOff>
    </xdr:to>
    <xdr:sp macro="" textlink="">
      <xdr:nvSpPr>
        <xdr:cNvPr id="2049" name="AutoShape 1" descr="Slika, ki vsebuje besede posnetek zaslona, voda, turkizna, zelenomodra&#10;&#10;Opis je samodejno ustvarjen"/>
        <xdr:cNvSpPr>
          <a:spLocks noChangeAspect="1" noChangeArrowheads="1"/>
        </xdr:cNvSpPr>
      </xdr:nvSpPr>
      <xdr:spPr bwMode="auto">
        <a:xfrm>
          <a:off x="8134350" y="0"/>
          <a:ext cx="10687050" cy="7562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1</xdr:rowOff>
    </xdr:from>
    <xdr:to>
      <xdr:col>11</xdr:col>
      <xdr:colOff>11206</xdr:colOff>
      <xdr:row>2</xdr:row>
      <xdr:rowOff>11205</xdr:rowOff>
    </xdr:to>
    <xdr:pic>
      <xdr:nvPicPr>
        <xdr:cNvPr id="3" name="Kép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65413"/>
          <a:ext cx="6420971" cy="2599763"/>
        </a:xfrm>
        <a:prstGeom prst="rect">
          <a:avLst/>
        </a:prstGeom>
        <a:noFill/>
        <a:ln>
          <a:noFill/>
        </a:ln>
      </xdr:spPr>
    </xdr:pic>
    <xdr:clientData/>
  </xdr:twoCellAnchor>
  <xdr:twoCellAnchor>
    <xdr:from>
      <xdr:col>0</xdr:col>
      <xdr:colOff>459440</xdr:colOff>
      <xdr:row>1</xdr:row>
      <xdr:rowOff>795618</xdr:rowOff>
    </xdr:from>
    <xdr:to>
      <xdr:col>10</xdr:col>
      <xdr:colOff>212911</xdr:colOff>
      <xdr:row>1</xdr:row>
      <xdr:rowOff>2173941</xdr:rowOff>
    </xdr:to>
    <xdr:sp macro="" textlink="">
      <xdr:nvSpPr>
        <xdr:cNvPr id="2" name="TextBox 1"/>
        <xdr:cNvSpPr txBox="1"/>
      </xdr:nvSpPr>
      <xdr:spPr>
        <a:xfrm>
          <a:off x="459440" y="1961030"/>
          <a:ext cx="5580530" cy="1378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l-SI" sz="3600" b="1">
              <a:solidFill>
                <a:schemeClr val="bg1"/>
              </a:solidFill>
            </a:rPr>
            <a:t>RurALL Business Models Financial Tool </a:t>
          </a:r>
          <a:r>
            <a:rPr lang="sl-SI" sz="3600" b="0">
              <a:solidFill>
                <a:schemeClr val="bg1"/>
              </a:solidFill>
            </a:rPr>
            <a:t>-</a:t>
          </a:r>
          <a:r>
            <a:rPr lang="sl-SI" sz="3600" b="1">
              <a:solidFill>
                <a:schemeClr val="bg1"/>
              </a:solidFill>
            </a:rPr>
            <a:t> </a:t>
          </a:r>
          <a:r>
            <a:rPr lang="sl-SI" sz="2800" b="0">
              <a:solidFill>
                <a:schemeClr val="bg1"/>
              </a:solidFill>
            </a:rPr>
            <a:t>v0.9</a:t>
          </a:r>
        </a:p>
      </xdr:txBody>
    </xdr:sp>
    <xdr:clientData/>
  </xdr:twoCellAnchor>
  <xdr:twoCellAnchor editAs="oneCell">
    <xdr:from>
      <xdr:col>0</xdr:col>
      <xdr:colOff>0</xdr:colOff>
      <xdr:row>0</xdr:row>
      <xdr:rowOff>0</xdr:rowOff>
    </xdr:from>
    <xdr:to>
      <xdr:col>6</xdr:col>
      <xdr:colOff>31190</xdr:colOff>
      <xdr:row>0</xdr:row>
      <xdr:rowOff>1153795</xdr:rowOff>
    </xdr:to>
    <xdr:pic>
      <xdr:nvPicPr>
        <xdr:cNvPr id="5" name="Kép 8"/>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0"/>
          <a:ext cx="3527425" cy="11537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0</xdr:rowOff>
    </xdr:from>
    <xdr:ext cx="5400000" cy="270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12</xdr:col>
      <xdr:colOff>0</xdr:colOff>
      <xdr:row>2</xdr:row>
      <xdr:rowOff>0</xdr:rowOff>
    </xdr:from>
    <xdr:ext cx="5400000" cy="2700000"/>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0</xdr:colOff>
      <xdr:row>19</xdr:row>
      <xdr:rowOff>0</xdr:rowOff>
    </xdr:from>
    <xdr:ext cx="5400000" cy="2700000"/>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12</xdr:col>
      <xdr:colOff>0</xdr:colOff>
      <xdr:row>19</xdr:row>
      <xdr:rowOff>0</xdr:rowOff>
    </xdr:from>
    <xdr:ext cx="5400000" cy="2700000"/>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36</xdr:row>
      <xdr:rowOff>0</xdr:rowOff>
    </xdr:from>
    <xdr:ext cx="5400000" cy="2700000"/>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12</xdr:col>
      <xdr:colOff>0</xdr:colOff>
      <xdr:row>36</xdr:row>
      <xdr:rowOff>0</xdr:rowOff>
    </xdr:from>
    <xdr:ext cx="5400000" cy="2700000"/>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0</xdr:col>
      <xdr:colOff>0</xdr:colOff>
      <xdr:row>53</xdr:row>
      <xdr:rowOff>0</xdr:rowOff>
    </xdr:from>
    <xdr:ext cx="5400000" cy="2700000"/>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oneCellAnchor>
    <xdr:from>
      <xdr:col>12</xdr:col>
      <xdr:colOff>0</xdr:colOff>
      <xdr:row>53</xdr:row>
      <xdr:rowOff>0</xdr:rowOff>
    </xdr:from>
    <xdr:ext cx="5400000" cy="2700000"/>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85" zoomScaleNormal="85" workbookViewId="0">
      <selection activeCell="S4" sqref="S4"/>
    </sheetView>
  </sheetViews>
  <sheetFormatPr defaultColWidth="8.7109375" defaultRowHeight="15" x14ac:dyDescent="0.25"/>
  <cols>
    <col min="11" max="11" width="8.7109375" customWidth="1"/>
  </cols>
  <sheetData>
    <row r="1" spans="1:11" ht="91.5" customHeight="1" x14ac:dyDescent="0.25">
      <c r="A1" s="64"/>
      <c r="B1" s="64"/>
      <c r="C1" s="64"/>
      <c r="D1" s="64"/>
      <c r="E1" s="64"/>
      <c r="F1" s="64"/>
      <c r="G1" s="64"/>
      <c r="H1" s="64"/>
      <c r="I1" s="64"/>
      <c r="J1" s="64"/>
      <c r="K1" s="64"/>
    </row>
    <row r="2" spans="1:11" ht="204" customHeight="1" x14ac:dyDescent="0.25">
      <c r="A2" s="63"/>
      <c r="B2" s="63"/>
      <c r="C2" s="63"/>
      <c r="D2" s="63"/>
      <c r="E2" s="63"/>
      <c r="F2" s="63"/>
      <c r="G2" s="63"/>
      <c r="H2" s="63"/>
      <c r="I2" s="63"/>
      <c r="J2" s="63"/>
      <c r="K2" s="63"/>
    </row>
    <row r="3" spans="1:11" ht="96" customHeight="1" x14ac:dyDescent="0.25">
      <c r="A3" s="65" t="s">
        <v>174</v>
      </c>
      <c r="B3" s="65"/>
      <c r="C3" s="65"/>
      <c r="D3" s="65"/>
      <c r="E3" s="65"/>
      <c r="F3" s="65"/>
      <c r="G3" s="65"/>
      <c r="H3" s="65"/>
      <c r="I3" s="65"/>
      <c r="J3" s="65"/>
      <c r="K3" s="65"/>
    </row>
    <row r="4" spans="1:11" ht="128.44999999999999" customHeight="1" x14ac:dyDescent="0.25">
      <c r="A4" s="65"/>
      <c r="B4" s="65"/>
      <c r="C4" s="65"/>
      <c r="D4" s="65"/>
      <c r="E4" s="65"/>
      <c r="F4" s="65"/>
      <c r="G4" s="65"/>
      <c r="H4" s="65"/>
      <c r="I4" s="65"/>
      <c r="J4" s="65"/>
      <c r="K4" s="65"/>
    </row>
    <row r="5" spans="1:11" ht="123" customHeight="1" x14ac:dyDescent="0.25">
      <c r="A5" s="65"/>
      <c r="B5" s="65"/>
      <c r="C5" s="65"/>
      <c r="D5" s="65"/>
      <c r="E5" s="65"/>
      <c r="F5" s="65"/>
      <c r="G5" s="65"/>
      <c r="H5" s="65"/>
      <c r="I5" s="65"/>
      <c r="J5" s="65"/>
      <c r="K5" s="65"/>
    </row>
    <row r="6" spans="1:11" ht="66.599999999999994" customHeight="1" x14ac:dyDescent="0.25">
      <c r="A6" s="65" t="s">
        <v>144</v>
      </c>
      <c r="B6" s="65"/>
      <c r="C6" s="65"/>
      <c r="D6" s="65"/>
      <c r="E6" s="65"/>
      <c r="F6" s="65"/>
      <c r="G6" s="65"/>
      <c r="H6" s="65"/>
      <c r="I6" s="65"/>
      <c r="J6" s="65"/>
      <c r="K6" s="65"/>
    </row>
    <row r="7" spans="1:11" ht="54.6" customHeight="1" x14ac:dyDescent="0.25">
      <c r="A7" s="65"/>
      <c r="B7" s="65"/>
      <c r="C7" s="65"/>
      <c r="D7" s="65"/>
      <c r="E7" s="65"/>
      <c r="F7" s="65"/>
      <c r="G7" s="65"/>
      <c r="H7" s="65"/>
      <c r="I7" s="65"/>
      <c r="J7" s="65"/>
      <c r="K7" s="65"/>
    </row>
    <row r="8" spans="1:11" ht="67.900000000000006" customHeight="1" x14ac:dyDescent="0.25">
      <c r="A8" s="65"/>
      <c r="B8" s="65"/>
      <c r="C8" s="65"/>
      <c r="D8" s="65"/>
      <c r="E8" s="65"/>
      <c r="F8" s="65"/>
      <c r="G8" s="65"/>
      <c r="H8" s="65"/>
      <c r="I8" s="65"/>
      <c r="J8" s="65"/>
      <c r="K8" s="65"/>
    </row>
    <row r="9" spans="1:11" ht="82.9" customHeight="1" x14ac:dyDescent="0.25">
      <c r="A9" s="65"/>
      <c r="B9" s="65"/>
      <c r="C9" s="65"/>
      <c r="D9" s="65"/>
      <c r="E9" s="65"/>
      <c r="F9" s="65"/>
      <c r="G9" s="65"/>
      <c r="H9" s="65"/>
      <c r="I9" s="65"/>
      <c r="J9" s="65"/>
      <c r="K9" s="65"/>
    </row>
    <row r="10" spans="1:11" ht="79.900000000000006" customHeight="1" x14ac:dyDescent="0.25">
      <c r="A10" s="65"/>
      <c r="B10" s="65"/>
      <c r="C10" s="65"/>
      <c r="D10" s="65"/>
      <c r="E10" s="65"/>
      <c r="F10" s="65"/>
      <c r="G10" s="65"/>
      <c r="H10" s="65"/>
      <c r="I10" s="65"/>
      <c r="J10" s="65"/>
      <c r="K10" s="65"/>
    </row>
    <row r="11" spans="1:11" x14ac:dyDescent="0.25">
      <c r="A11" s="43"/>
      <c r="B11" s="43"/>
      <c r="C11" s="43"/>
      <c r="D11" s="43"/>
      <c r="E11" s="43"/>
      <c r="F11" s="43"/>
      <c r="G11" s="43"/>
      <c r="H11" s="43"/>
      <c r="I11" s="43"/>
      <c r="J11" s="43"/>
      <c r="K11" s="43"/>
    </row>
    <row r="12" spans="1:11" ht="19.899999999999999" customHeight="1" x14ac:dyDescent="0.25">
      <c r="A12" s="70" t="s">
        <v>173</v>
      </c>
      <c r="B12" s="70"/>
      <c r="C12" s="70"/>
      <c r="D12" s="70"/>
      <c r="E12" s="70"/>
      <c r="F12" s="70"/>
      <c r="G12" s="70"/>
      <c r="H12" s="70"/>
      <c r="I12" s="70"/>
      <c r="J12" s="70"/>
      <c r="K12" s="70"/>
    </row>
    <row r="13" spans="1:11" ht="33" customHeight="1" x14ac:dyDescent="0.25">
      <c r="A13" s="65" t="s">
        <v>165</v>
      </c>
      <c r="B13" s="65"/>
      <c r="C13" s="65"/>
      <c r="D13" s="65"/>
      <c r="E13" s="65"/>
      <c r="F13" s="65"/>
      <c r="G13" s="65"/>
      <c r="H13" s="65"/>
      <c r="I13" s="65"/>
      <c r="J13" s="65"/>
      <c r="K13" s="65"/>
    </row>
    <row r="14" spans="1:11" ht="31.5" customHeight="1" x14ac:dyDescent="0.25">
      <c r="A14" s="65" t="s">
        <v>169</v>
      </c>
      <c r="B14" s="65"/>
      <c r="C14" s="65"/>
      <c r="D14" s="65"/>
      <c r="E14" s="65"/>
      <c r="F14" s="65"/>
      <c r="G14" s="65"/>
      <c r="H14" s="65"/>
      <c r="I14" s="65"/>
      <c r="J14" s="65"/>
      <c r="K14" s="65"/>
    </row>
    <row r="15" spans="1:11" ht="33.75" customHeight="1" x14ac:dyDescent="0.25">
      <c r="A15" s="65" t="s">
        <v>166</v>
      </c>
      <c r="B15" s="65"/>
      <c r="C15" s="65"/>
      <c r="D15" s="65"/>
      <c r="E15" s="65"/>
      <c r="F15" s="65"/>
      <c r="G15" s="65"/>
      <c r="H15" s="65"/>
      <c r="I15" s="65"/>
      <c r="J15" s="65"/>
      <c r="K15" s="65"/>
    </row>
    <row r="16" spans="1:11" ht="32.25" customHeight="1" x14ac:dyDescent="0.25">
      <c r="A16" s="65" t="s">
        <v>167</v>
      </c>
      <c r="B16" s="65"/>
      <c r="C16" s="65"/>
      <c r="D16" s="65"/>
      <c r="E16" s="65"/>
      <c r="F16" s="65"/>
      <c r="G16" s="65"/>
      <c r="H16" s="65"/>
      <c r="I16" s="65"/>
      <c r="J16" s="65"/>
      <c r="K16" s="65"/>
    </row>
    <row r="17" spans="1:18" ht="51" customHeight="1" x14ac:dyDescent="0.25">
      <c r="A17" s="65" t="s">
        <v>170</v>
      </c>
      <c r="B17" s="65"/>
      <c r="C17" s="65"/>
      <c r="D17" s="65"/>
      <c r="E17" s="65"/>
      <c r="F17" s="65"/>
      <c r="G17" s="65"/>
      <c r="H17" s="65"/>
      <c r="I17" s="65"/>
      <c r="J17" s="65"/>
      <c r="K17" s="65"/>
    </row>
    <row r="18" spans="1:18" ht="32.25" customHeight="1" x14ac:dyDescent="0.25">
      <c r="A18" s="65" t="s">
        <v>171</v>
      </c>
      <c r="B18" s="65"/>
      <c r="C18" s="65"/>
      <c r="D18" s="65"/>
      <c r="E18" s="65"/>
      <c r="F18" s="65"/>
      <c r="G18" s="65"/>
      <c r="H18" s="65"/>
      <c r="I18" s="65"/>
      <c r="J18" s="65"/>
      <c r="K18" s="65"/>
    </row>
    <row r="19" spans="1:18" ht="48.75" customHeight="1" x14ac:dyDescent="0.25">
      <c r="A19" s="65" t="s">
        <v>172</v>
      </c>
      <c r="B19" s="65"/>
      <c r="C19" s="65"/>
      <c r="D19" s="65"/>
      <c r="E19" s="65"/>
      <c r="F19" s="65"/>
      <c r="G19" s="65"/>
      <c r="H19" s="65"/>
      <c r="I19" s="65"/>
      <c r="J19" s="65"/>
      <c r="K19" s="65"/>
    </row>
    <row r="20" spans="1:18" x14ac:dyDescent="0.25">
      <c r="A20" s="43"/>
      <c r="B20" s="43"/>
      <c r="C20" s="43"/>
      <c r="D20" s="43"/>
      <c r="E20" s="43"/>
      <c r="F20" s="43"/>
      <c r="G20" s="43"/>
      <c r="H20" s="43"/>
      <c r="I20" s="43"/>
      <c r="J20" s="43"/>
      <c r="K20" s="43"/>
    </row>
    <row r="21" spans="1:18" ht="18.75" x14ac:dyDescent="0.25">
      <c r="A21" s="66" t="s">
        <v>156</v>
      </c>
      <c r="B21" s="66"/>
      <c r="C21" s="66"/>
      <c r="D21" s="66"/>
      <c r="E21" s="66"/>
      <c r="F21" s="66"/>
      <c r="G21" s="66"/>
      <c r="H21" s="66"/>
      <c r="I21" s="66"/>
      <c r="J21" s="66"/>
      <c r="K21" s="66"/>
      <c r="L21" s="66"/>
      <c r="M21" s="66"/>
      <c r="N21" s="66"/>
      <c r="O21" s="66"/>
      <c r="P21" s="66"/>
      <c r="Q21" s="66"/>
      <c r="R21" s="66"/>
    </row>
    <row r="22" spans="1:18" ht="18.75" x14ac:dyDescent="0.25">
      <c r="A22" s="66" t="s">
        <v>157</v>
      </c>
      <c r="B22" s="71"/>
      <c r="C22" s="71"/>
      <c r="D22" s="71"/>
      <c r="E22" s="71"/>
      <c r="F22" s="71"/>
      <c r="G22" s="66" t="s">
        <v>158</v>
      </c>
      <c r="H22" s="66"/>
      <c r="I22" s="66"/>
      <c r="J22" s="66"/>
      <c r="K22" s="66"/>
      <c r="L22" s="66"/>
      <c r="M22" s="66"/>
      <c r="N22" s="66"/>
      <c r="O22" s="66"/>
      <c r="P22" s="66"/>
      <c r="Q22" s="66"/>
      <c r="R22" s="66"/>
    </row>
    <row r="23" spans="1:18" ht="114" customHeight="1" x14ac:dyDescent="0.25">
      <c r="A23" s="72" t="s">
        <v>159</v>
      </c>
      <c r="B23" s="73"/>
      <c r="C23" s="73"/>
      <c r="D23" s="73"/>
      <c r="E23" s="73"/>
      <c r="F23" s="74"/>
      <c r="G23" s="72" t="s">
        <v>160</v>
      </c>
      <c r="H23" s="73"/>
      <c r="I23" s="73"/>
      <c r="J23" s="73"/>
      <c r="K23" s="73"/>
      <c r="L23" s="74"/>
      <c r="M23" s="65" t="s">
        <v>161</v>
      </c>
      <c r="N23" s="65"/>
      <c r="O23" s="65"/>
      <c r="P23" s="65"/>
      <c r="Q23" s="65"/>
      <c r="R23" s="65"/>
    </row>
    <row r="24" spans="1:18" ht="94.9" customHeight="1" x14ac:dyDescent="0.25">
      <c r="A24" s="75"/>
      <c r="B24" s="76"/>
      <c r="C24" s="76"/>
      <c r="D24" s="76"/>
      <c r="E24" s="76"/>
      <c r="F24" s="77"/>
      <c r="G24" s="75"/>
      <c r="H24" s="76"/>
      <c r="I24" s="76"/>
      <c r="J24" s="76"/>
      <c r="K24" s="76"/>
      <c r="L24" s="77"/>
      <c r="M24" s="65"/>
      <c r="N24" s="65"/>
      <c r="O24" s="65"/>
      <c r="P24" s="65"/>
      <c r="Q24" s="65"/>
      <c r="R24" s="65"/>
    </row>
    <row r="25" spans="1:18" ht="87.6" customHeight="1" x14ac:dyDescent="0.25">
      <c r="A25" s="75"/>
      <c r="B25" s="76"/>
      <c r="C25" s="76"/>
      <c r="D25" s="76"/>
      <c r="E25" s="76"/>
      <c r="F25" s="77"/>
      <c r="G25" s="75"/>
      <c r="H25" s="76"/>
      <c r="I25" s="76"/>
      <c r="J25" s="76"/>
      <c r="K25" s="76"/>
      <c r="L25" s="77"/>
      <c r="M25" s="65"/>
      <c r="N25" s="65"/>
      <c r="O25" s="65"/>
      <c r="P25" s="65"/>
      <c r="Q25" s="65"/>
      <c r="R25" s="65"/>
    </row>
    <row r="26" spans="1:18" ht="75" customHeight="1" x14ac:dyDescent="0.25">
      <c r="A26" s="75"/>
      <c r="B26" s="76"/>
      <c r="C26" s="76"/>
      <c r="D26" s="76"/>
      <c r="E26" s="76"/>
      <c r="F26" s="77"/>
      <c r="G26" s="75"/>
      <c r="H26" s="76"/>
      <c r="I26" s="76"/>
      <c r="J26" s="76"/>
      <c r="K26" s="76"/>
      <c r="L26" s="77"/>
      <c r="M26" s="65"/>
      <c r="N26" s="65"/>
      <c r="O26" s="65"/>
      <c r="P26" s="65"/>
      <c r="Q26" s="65"/>
      <c r="R26" s="65"/>
    </row>
    <row r="27" spans="1:18" ht="118.9" customHeight="1" x14ac:dyDescent="0.25">
      <c r="A27" s="75"/>
      <c r="B27" s="76"/>
      <c r="C27" s="76"/>
      <c r="D27" s="76"/>
      <c r="E27" s="76"/>
      <c r="F27" s="77"/>
      <c r="G27" s="75"/>
      <c r="H27" s="76"/>
      <c r="I27" s="76"/>
      <c r="J27" s="76"/>
      <c r="K27" s="76"/>
      <c r="L27" s="77"/>
      <c r="M27" s="65"/>
      <c r="N27" s="65"/>
      <c r="O27" s="65"/>
      <c r="P27" s="65"/>
      <c r="Q27" s="65"/>
      <c r="R27" s="65"/>
    </row>
    <row r="28" spans="1:18" ht="119.45" customHeight="1" x14ac:dyDescent="0.25">
      <c r="A28" s="65"/>
      <c r="B28" s="65"/>
      <c r="C28" s="65"/>
      <c r="D28" s="65"/>
      <c r="E28" s="65"/>
      <c r="F28" s="65"/>
      <c r="G28" s="65"/>
      <c r="H28" s="65"/>
      <c r="I28" s="65"/>
      <c r="J28" s="65"/>
      <c r="K28" s="65"/>
      <c r="L28" s="65"/>
      <c r="M28" s="65"/>
      <c r="N28" s="65"/>
      <c r="O28" s="65"/>
      <c r="P28" s="65"/>
      <c r="Q28" s="65"/>
      <c r="R28" s="65"/>
    </row>
    <row r="29" spans="1:18" ht="18" customHeight="1" x14ac:dyDescent="0.25">
      <c r="A29" s="67" t="s">
        <v>162</v>
      </c>
      <c r="B29" s="68"/>
      <c r="C29" s="68"/>
      <c r="D29" s="68"/>
      <c r="E29" s="68"/>
      <c r="F29" s="68"/>
      <c r="G29" s="68"/>
      <c r="H29" s="68"/>
      <c r="I29" s="68"/>
      <c r="J29" s="68"/>
      <c r="K29" s="68"/>
      <c r="L29" s="68"/>
      <c r="M29" s="68"/>
      <c r="N29" s="68"/>
      <c r="O29" s="68"/>
      <c r="P29" s="68"/>
      <c r="Q29" s="68"/>
      <c r="R29" s="69"/>
    </row>
    <row r="30" spans="1:18" ht="57" customHeight="1" x14ac:dyDescent="0.25">
      <c r="A30" s="65" t="s">
        <v>163</v>
      </c>
      <c r="B30" s="65"/>
      <c r="C30" s="65"/>
      <c r="D30" s="65"/>
      <c r="E30" s="65"/>
      <c r="F30" s="65"/>
      <c r="G30" s="65"/>
      <c r="H30" s="65"/>
      <c r="I30" s="65"/>
      <c r="J30" s="65" t="s">
        <v>164</v>
      </c>
      <c r="K30" s="65"/>
      <c r="L30" s="65"/>
      <c r="M30" s="65"/>
      <c r="N30" s="65"/>
      <c r="O30" s="65"/>
      <c r="P30" s="65"/>
      <c r="Q30" s="65"/>
      <c r="R30" s="65"/>
    </row>
    <row r="31" spans="1:18" ht="49.9" customHeight="1" x14ac:dyDescent="0.25">
      <c r="A31" s="65"/>
      <c r="B31" s="65"/>
      <c r="C31" s="65"/>
      <c r="D31" s="65"/>
      <c r="E31" s="65"/>
      <c r="F31" s="65"/>
      <c r="G31" s="65"/>
      <c r="H31" s="65"/>
      <c r="I31" s="65"/>
      <c r="J31" s="65"/>
      <c r="K31" s="65"/>
      <c r="L31" s="65"/>
      <c r="M31" s="65"/>
      <c r="N31" s="65"/>
      <c r="O31" s="65"/>
      <c r="P31" s="65"/>
      <c r="Q31" s="65"/>
      <c r="R31" s="65"/>
    </row>
    <row r="32" spans="1:18" ht="77.25" customHeight="1" x14ac:dyDescent="0.25">
      <c r="A32" s="65"/>
      <c r="B32" s="65"/>
      <c r="C32" s="65"/>
      <c r="D32" s="65"/>
      <c r="E32" s="65"/>
      <c r="F32" s="65"/>
      <c r="G32" s="65"/>
      <c r="H32" s="65"/>
      <c r="I32" s="65"/>
      <c r="J32" s="65"/>
      <c r="K32" s="65"/>
      <c r="L32" s="65"/>
      <c r="M32" s="65"/>
      <c r="N32" s="65"/>
      <c r="O32" s="65"/>
      <c r="P32" s="65"/>
      <c r="Q32" s="65"/>
      <c r="R32" s="65"/>
    </row>
    <row r="33" spans="1:12" x14ac:dyDescent="0.25">
      <c r="A33" s="43"/>
      <c r="B33" s="43"/>
      <c r="C33" s="43"/>
      <c r="D33" s="43"/>
      <c r="E33" s="43"/>
      <c r="F33" s="43"/>
      <c r="G33" s="43"/>
      <c r="H33" s="43"/>
      <c r="I33" s="43"/>
      <c r="J33" s="43"/>
      <c r="K33" s="43"/>
    </row>
    <row r="35" spans="1:12" x14ac:dyDescent="0.25">
      <c r="A35" s="2" t="s">
        <v>1</v>
      </c>
    </row>
    <row r="36" spans="1:12" x14ac:dyDescent="0.25">
      <c r="A36" s="3" t="s">
        <v>2</v>
      </c>
    </row>
    <row r="37" spans="1:12" x14ac:dyDescent="0.25">
      <c r="A37" s="3" t="s">
        <v>3</v>
      </c>
    </row>
    <row r="38" spans="1:12" x14ac:dyDescent="0.25">
      <c r="A38" s="3" t="s">
        <v>4</v>
      </c>
    </row>
    <row r="39" spans="1:12" x14ac:dyDescent="0.25">
      <c r="A39" s="3" t="s">
        <v>5</v>
      </c>
    </row>
    <row r="40" spans="1:12" x14ac:dyDescent="0.25">
      <c r="A40" s="3" t="s">
        <v>6</v>
      </c>
    </row>
    <row r="43" spans="1:12" x14ac:dyDescent="0.25">
      <c r="A43" s="64"/>
      <c r="B43" s="64"/>
      <c r="C43" s="64"/>
      <c r="D43" s="64"/>
      <c r="E43" s="64"/>
      <c r="F43" s="64"/>
      <c r="G43" s="64"/>
      <c r="H43" s="64"/>
      <c r="I43" s="64"/>
      <c r="J43" s="64"/>
      <c r="K43" s="64"/>
      <c r="L43" s="64"/>
    </row>
  </sheetData>
  <mergeCells count="22">
    <mergeCell ref="A17:K17"/>
    <mergeCell ref="A19:K19"/>
    <mergeCell ref="M23:R28"/>
    <mergeCell ref="G23:L28"/>
    <mergeCell ref="A23:F28"/>
    <mergeCell ref="G22:R22"/>
    <mergeCell ref="A2:K2"/>
    <mergeCell ref="A1:K1"/>
    <mergeCell ref="A43:L43"/>
    <mergeCell ref="A3:K5"/>
    <mergeCell ref="A6:K10"/>
    <mergeCell ref="A21:R21"/>
    <mergeCell ref="A29:R29"/>
    <mergeCell ref="A12:K12"/>
    <mergeCell ref="A13:K13"/>
    <mergeCell ref="A14:K14"/>
    <mergeCell ref="A15:K15"/>
    <mergeCell ref="A16:K16"/>
    <mergeCell ref="A22:F22"/>
    <mergeCell ref="A30:I32"/>
    <mergeCell ref="J30:R32"/>
    <mergeCell ref="A18:K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workbookViewId="0">
      <selection activeCell="B25" sqref="B25"/>
    </sheetView>
  </sheetViews>
  <sheetFormatPr defaultColWidth="8.7109375" defaultRowHeight="15" x14ac:dyDescent="0.25"/>
  <cols>
    <col min="1" max="1" width="38" customWidth="1"/>
    <col min="2" max="2" width="13.140625" customWidth="1"/>
    <col min="3" max="3" width="14" customWidth="1"/>
    <col min="4" max="4" width="27.85546875" customWidth="1"/>
    <col min="5" max="5" width="14.42578125" bestFit="1" customWidth="1"/>
    <col min="7" max="7" width="4.28515625" customWidth="1"/>
    <col min="8" max="8" width="45.140625" customWidth="1"/>
    <col min="9" max="9" width="14.42578125" bestFit="1" customWidth="1"/>
  </cols>
  <sheetData>
    <row r="1" spans="1:11" ht="19.149999999999999" customHeight="1" x14ac:dyDescent="0.3">
      <c r="A1" s="1" t="s">
        <v>7</v>
      </c>
    </row>
    <row r="2" spans="1:11" ht="57.6" customHeight="1" x14ac:dyDescent="0.25">
      <c r="A2" s="80" t="s">
        <v>141</v>
      </c>
      <c r="B2" s="80"/>
      <c r="D2" s="2" t="s">
        <v>8</v>
      </c>
      <c r="E2" s="6"/>
    </row>
    <row r="3" spans="1:11" x14ac:dyDescent="0.25">
      <c r="A3" s="97" t="s">
        <v>168</v>
      </c>
      <c r="B3" s="98"/>
      <c r="D3" s="6" t="s">
        <v>10</v>
      </c>
      <c r="E3" s="55">
        <f>SURFACE*RECON_C_P_SQM+ADDITIONAL_CAPEX</f>
        <v>2400000</v>
      </c>
    </row>
    <row r="4" spans="1:11" x14ac:dyDescent="0.25">
      <c r="A4" s="20" t="s">
        <v>9</v>
      </c>
      <c r="B4" s="57">
        <v>30</v>
      </c>
      <c r="D4" s="6" t="s">
        <v>12</v>
      </c>
      <c r="E4" s="55">
        <f>SURFACE*VALUE_P_SQM</f>
        <v>3400000</v>
      </c>
      <c r="H4" s="91" t="s">
        <v>99</v>
      </c>
      <c r="I4" s="92"/>
    </row>
    <row r="5" spans="1:11" ht="12.6" customHeight="1" x14ac:dyDescent="0.25">
      <c r="A5" t="s">
        <v>11</v>
      </c>
      <c r="B5" s="46">
        <v>2025</v>
      </c>
      <c r="D5" s="6" t="s">
        <v>14</v>
      </c>
      <c r="E5" s="56">
        <f>IF(E4&gt;0,LOAN_AMT/E4,NA())</f>
        <v>0.35294117647058826</v>
      </c>
      <c r="H5" s="10" t="s">
        <v>96</v>
      </c>
      <c r="I5" s="11">
        <f>(I16-I11)+E3</f>
        <v>3200996.9206631826</v>
      </c>
      <c r="J5" s="83" t="s">
        <v>149</v>
      </c>
      <c r="K5" s="84"/>
    </row>
    <row r="6" spans="1:11" x14ac:dyDescent="0.25">
      <c r="A6" t="s">
        <v>13</v>
      </c>
      <c r="B6" s="47">
        <v>7.0000000000000007E-2</v>
      </c>
      <c r="H6" s="10" t="s">
        <v>97</v>
      </c>
      <c r="I6" s="12">
        <f>VALUE_P_SQM*SURFACE</f>
        <v>3400000</v>
      </c>
      <c r="J6" s="85"/>
      <c r="K6" s="86"/>
    </row>
    <row r="7" spans="1:11" x14ac:dyDescent="0.25">
      <c r="A7" t="s">
        <v>15</v>
      </c>
      <c r="B7" s="47">
        <v>0</v>
      </c>
      <c r="D7" s="6"/>
      <c r="E7" s="6" t="s">
        <v>77</v>
      </c>
      <c r="F7" s="6" t="s">
        <v>78</v>
      </c>
      <c r="H7" s="10" t="s">
        <v>98</v>
      </c>
      <c r="I7" s="13">
        <f>I6-I5+GRANT_Y0+(GRANT_ANNUAL*N_YEARS)</f>
        <v>199003.07933681738</v>
      </c>
      <c r="J7" s="87"/>
      <c r="K7" s="88"/>
    </row>
    <row r="8" spans="1:11" x14ac:dyDescent="0.25">
      <c r="A8" s="20" t="s">
        <v>151</v>
      </c>
      <c r="B8" s="58">
        <v>2000</v>
      </c>
      <c r="D8" s="61" t="s">
        <v>74</v>
      </c>
      <c r="E8" s="62">
        <v>0.2</v>
      </c>
      <c r="F8" s="6">
        <f>SURFACE*E8</f>
        <v>400</v>
      </c>
    </row>
    <row r="9" spans="1:11" x14ac:dyDescent="0.25">
      <c r="A9" s="20" t="s">
        <v>150</v>
      </c>
      <c r="B9" s="59">
        <v>1200</v>
      </c>
      <c r="D9" s="61" t="s">
        <v>75</v>
      </c>
      <c r="E9" s="62">
        <v>0.3</v>
      </c>
      <c r="F9" s="6">
        <f>SURFACE*E9</f>
        <v>600</v>
      </c>
    </row>
    <row r="10" spans="1:11" x14ac:dyDescent="0.25">
      <c r="A10" t="s">
        <v>16</v>
      </c>
      <c r="B10" s="48">
        <v>0</v>
      </c>
      <c r="D10" s="61" t="s">
        <v>79</v>
      </c>
      <c r="E10" s="62">
        <v>0.2</v>
      </c>
      <c r="F10" s="6">
        <f>SURFACE*E10</f>
        <v>400</v>
      </c>
      <c r="H10" s="89" t="s">
        <v>107</v>
      </c>
      <c r="I10" s="90"/>
    </row>
    <row r="11" spans="1:11" x14ac:dyDescent="0.25">
      <c r="A11" t="s">
        <v>17</v>
      </c>
      <c r="B11" s="48">
        <v>20</v>
      </c>
      <c r="D11" s="61" t="s">
        <v>76</v>
      </c>
      <c r="E11" s="62">
        <v>0.1</v>
      </c>
      <c r="F11" s="6">
        <f>SURFACE*E11</f>
        <v>200</v>
      </c>
      <c r="H11" s="53" t="s">
        <v>83</v>
      </c>
      <c r="I11" s="17">
        <f>LOAN_AMT</f>
        <v>1200000</v>
      </c>
    </row>
    <row r="12" spans="1:11" x14ac:dyDescent="0.25">
      <c r="A12" t="s">
        <v>18</v>
      </c>
      <c r="B12" s="47">
        <v>0.02</v>
      </c>
      <c r="D12" s="61" t="s">
        <v>81</v>
      </c>
      <c r="E12" s="62">
        <v>0.2</v>
      </c>
      <c r="F12" s="6">
        <f>SURFACE*E12</f>
        <v>400</v>
      </c>
      <c r="H12" s="53" t="s">
        <v>84</v>
      </c>
      <c r="I12" s="16">
        <f>INT_RATE/12</f>
        <v>3.7499999999999999E-3</v>
      </c>
    </row>
    <row r="13" spans="1:11" x14ac:dyDescent="0.25">
      <c r="A13" t="s">
        <v>19</v>
      </c>
      <c r="B13" s="48">
        <v>60000</v>
      </c>
      <c r="D13" s="6" t="s">
        <v>155</v>
      </c>
      <c r="E13" s="21">
        <f>SUM(E8:E12)</f>
        <v>1</v>
      </c>
      <c r="F13" s="6">
        <f>SUM(F8:F12)</f>
        <v>2000</v>
      </c>
      <c r="H13" s="53" t="s">
        <v>85</v>
      </c>
      <c r="I13" s="16">
        <f>LOAN_TERM*12</f>
        <v>300</v>
      </c>
    </row>
    <row r="14" spans="1:11" x14ac:dyDescent="0.25">
      <c r="A14" t="s">
        <v>20</v>
      </c>
      <c r="B14" s="47">
        <v>0.02</v>
      </c>
      <c r="D14" s="81" t="s">
        <v>154</v>
      </c>
      <c r="E14" s="81"/>
      <c r="F14" s="81"/>
      <c r="H14" s="53" t="s">
        <v>86</v>
      </c>
      <c r="I14" s="18">
        <f>I11*(((I12*(1+I12)^I13))/(((1+I12)^I13)-1))</f>
        <v>6669.9897355439416</v>
      </c>
    </row>
    <row r="15" spans="1:11" x14ac:dyDescent="0.25">
      <c r="A15" t="s">
        <v>21</v>
      </c>
      <c r="B15" s="45">
        <v>30</v>
      </c>
      <c r="D15" s="81"/>
      <c r="E15" s="81"/>
      <c r="F15" s="81"/>
      <c r="H15" s="53" t="s">
        <v>87</v>
      </c>
      <c r="I15" s="18">
        <f>I14*12</f>
        <v>80039.876826527296</v>
      </c>
    </row>
    <row r="16" spans="1:11" x14ac:dyDescent="0.25">
      <c r="A16" s="20" t="s">
        <v>152</v>
      </c>
      <c r="B16" s="59">
        <v>1700</v>
      </c>
      <c r="H16" s="52" t="s">
        <v>72</v>
      </c>
      <c r="I16" s="18">
        <f>LOAN_TERM*I15</f>
        <v>2000996.9206631824</v>
      </c>
    </row>
    <row r="17" spans="1:9" ht="14.45" customHeight="1" x14ac:dyDescent="0.25">
      <c r="A17" s="20" t="s">
        <v>22</v>
      </c>
      <c r="B17" s="59">
        <v>0</v>
      </c>
      <c r="C17" s="81" t="s">
        <v>142</v>
      </c>
      <c r="D17" s="81"/>
      <c r="E17" s="81"/>
      <c r="H17" s="14" t="s">
        <v>88</v>
      </c>
      <c r="I17" s="17">
        <f>SURFACE*1</f>
        <v>2000</v>
      </c>
    </row>
    <row r="18" spans="1:9" x14ac:dyDescent="0.25">
      <c r="A18" s="20" t="s">
        <v>23</v>
      </c>
      <c r="B18" s="59">
        <v>0</v>
      </c>
      <c r="C18" s="81"/>
      <c r="D18" s="81"/>
      <c r="E18" s="81"/>
      <c r="H18" s="14" t="s">
        <v>89</v>
      </c>
      <c r="I18" s="17">
        <f>SURFACE*2</f>
        <v>4000</v>
      </c>
    </row>
    <row r="19" spans="1:9" x14ac:dyDescent="0.25">
      <c r="A19" s="20" t="s">
        <v>24</v>
      </c>
      <c r="B19" s="59">
        <v>8</v>
      </c>
      <c r="C19" s="82" t="s">
        <v>143</v>
      </c>
      <c r="D19" s="82"/>
      <c r="E19" s="82"/>
      <c r="H19" s="14" t="s">
        <v>90</v>
      </c>
      <c r="I19" s="17">
        <f>SURFACE*2</f>
        <v>4000</v>
      </c>
    </row>
    <row r="20" spans="1:9" x14ac:dyDescent="0.25">
      <c r="A20" t="s">
        <v>25</v>
      </c>
      <c r="B20" s="47">
        <v>0.85</v>
      </c>
      <c r="H20" s="14" t="s">
        <v>91</v>
      </c>
      <c r="I20" s="17">
        <f>I15+I17+I18+I19</f>
        <v>90039.876826527296</v>
      </c>
    </row>
    <row r="21" spans="1:9" x14ac:dyDescent="0.25">
      <c r="A21" t="s">
        <v>26</v>
      </c>
      <c r="B21" s="47">
        <v>0</v>
      </c>
      <c r="D21" s="63"/>
      <c r="E21" s="63"/>
      <c r="H21" s="14" t="s">
        <v>92</v>
      </c>
      <c r="I21" s="17">
        <f>I20/SURFACE</f>
        <v>45.019938413263645</v>
      </c>
    </row>
    <row r="22" spans="1:9" x14ac:dyDescent="0.25">
      <c r="A22" t="s">
        <v>27</v>
      </c>
      <c r="B22" s="47">
        <v>0.02</v>
      </c>
      <c r="D22" s="6" t="str">
        <f>A8</f>
        <v>Surface area (m2)</v>
      </c>
      <c r="E22" s="6">
        <f>B8</f>
        <v>2000</v>
      </c>
      <c r="H22" s="14" t="s">
        <v>93</v>
      </c>
      <c r="I22" s="17">
        <f>I21/12</f>
        <v>3.7516615344386373</v>
      </c>
    </row>
    <row r="23" spans="1:9" x14ac:dyDescent="0.25">
      <c r="A23" t="s">
        <v>28</v>
      </c>
      <c r="B23" s="48">
        <v>50000</v>
      </c>
      <c r="D23" s="6" t="str">
        <f>A9</f>
        <v>Cost /m2 (Including Reconstruction)</v>
      </c>
      <c r="E23" s="25">
        <f>B9</f>
        <v>1200</v>
      </c>
      <c r="H23" s="14" t="s">
        <v>73</v>
      </c>
      <c r="I23" s="54">
        <v>0.1</v>
      </c>
    </row>
    <row r="24" spans="1:9" x14ac:dyDescent="0.25">
      <c r="A24" t="s">
        <v>29</v>
      </c>
      <c r="B24" s="47">
        <v>0.02</v>
      </c>
      <c r="D24" s="6" t="s">
        <v>100</v>
      </c>
      <c r="E24" s="25">
        <f>E22*E23</f>
        <v>2400000</v>
      </c>
      <c r="H24" s="14" t="s">
        <v>94</v>
      </c>
      <c r="I24" s="17">
        <f>I20+(I23*SURFACE*12)</f>
        <v>92439.876826527296</v>
      </c>
    </row>
    <row r="25" spans="1:9" ht="21" customHeight="1" x14ac:dyDescent="0.25">
      <c r="A25" s="20" t="s">
        <v>30</v>
      </c>
      <c r="B25" s="59">
        <v>1200000</v>
      </c>
      <c r="D25" s="6" t="s">
        <v>101</v>
      </c>
      <c r="E25" s="26">
        <f>(I16-I11)</f>
        <v>800996.92066318239</v>
      </c>
      <c r="H25" s="14" t="s">
        <v>95</v>
      </c>
      <c r="I25" s="17">
        <f>I24/SURFACE</f>
        <v>46.219938413263648</v>
      </c>
    </row>
    <row r="26" spans="1:9" x14ac:dyDescent="0.25">
      <c r="A26" s="20" t="s">
        <v>31</v>
      </c>
      <c r="B26" s="60">
        <v>4.4999999999999998E-2</v>
      </c>
      <c r="D26" s="6" t="s">
        <v>102</v>
      </c>
      <c r="E26" s="27">
        <f>E24+E25</f>
        <v>3200996.9206631826</v>
      </c>
      <c r="H26" s="15" t="s">
        <v>82</v>
      </c>
      <c r="I26" s="19">
        <f>I25/12</f>
        <v>3.8516615344386373</v>
      </c>
    </row>
    <row r="27" spans="1:9" x14ac:dyDescent="0.25">
      <c r="A27" s="20" t="s">
        <v>32</v>
      </c>
      <c r="B27" s="57">
        <v>25</v>
      </c>
      <c r="D27" s="6" t="s">
        <v>147</v>
      </c>
      <c r="E27" s="27">
        <f>E26/E22</f>
        <v>1600.4984603315913</v>
      </c>
      <c r="H27" s="15" t="s">
        <v>80</v>
      </c>
      <c r="I27" s="17"/>
    </row>
    <row r="28" spans="1:9" ht="14.45" customHeight="1" x14ac:dyDescent="0.25">
      <c r="A28" t="s">
        <v>33</v>
      </c>
      <c r="B28" s="45">
        <v>2</v>
      </c>
      <c r="D28" s="99" t="s">
        <v>175</v>
      </c>
      <c r="E28" s="99"/>
      <c r="H28" s="14" t="str">
        <f>D8</f>
        <v>Store</v>
      </c>
      <c r="I28" s="17">
        <f>$I$26*F8</f>
        <v>1540.6646137754549</v>
      </c>
    </row>
    <row r="29" spans="1:9" x14ac:dyDescent="0.25">
      <c r="D29" s="99"/>
      <c r="E29" s="99"/>
      <c r="H29" s="14" t="str">
        <f>D9</f>
        <v>Cultural center</v>
      </c>
      <c r="I29" s="17">
        <f>$I$26*F9</f>
        <v>2310.9969206631822</v>
      </c>
    </row>
    <row r="30" spans="1:9" x14ac:dyDescent="0.25">
      <c r="D30" s="99"/>
      <c r="E30" s="99"/>
      <c r="H30" s="14" t="str">
        <f>D10</f>
        <v>Appartments</v>
      </c>
      <c r="I30" s="17">
        <f>$I$26*F10</f>
        <v>1540.6646137754549</v>
      </c>
    </row>
    <row r="31" spans="1:9" x14ac:dyDescent="0.25">
      <c r="H31" s="14" t="str">
        <f>D11</f>
        <v>Coworking area</v>
      </c>
      <c r="I31" s="17">
        <f>$I$26*F11</f>
        <v>770.33230688772744</v>
      </c>
    </row>
    <row r="32" spans="1:9" x14ac:dyDescent="0.25">
      <c r="H32" s="30" t="str">
        <f>D12</f>
        <v>Other</v>
      </c>
      <c r="I32" s="31">
        <f>$I$26*F12</f>
        <v>1540.6646137754549</v>
      </c>
    </row>
    <row r="33" spans="1:9" x14ac:dyDescent="0.25">
      <c r="H33" s="32" t="s">
        <v>153</v>
      </c>
      <c r="I33" s="33">
        <f>SUM(I28:I32)</f>
        <v>7703.3230688772746</v>
      </c>
    </row>
    <row r="35" spans="1:9" x14ac:dyDescent="0.25">
      <c r="A35" s="93" t="s">
        <v>111</v>
      </c>
      <c r="B35" s="94"/>
      <c r="C35" s="79" t="s">
        <v>146</v>
      </c>
      <c r="H35" s="89" t="s">
        <v>108</v>
      </c>
      <c r="I35" s="90"/>
    </row>
    <row r="36" spans="1:9" ht="14.45" customHeight="1" x14ac:dyDescent="0.25">
      <c r="A36" s="6" t="s">
        <v>109</v>
      </c>
      <c r="B36" s="26">
        <f>I5</f>
        <v>3200996.9206631826</v>
      </c>
      <c r="C36" s="79"/>
      <c r="H36" s="22" t="s">
        <v>103</v>
      </c>
      <c r="I36" s="19">
        <f>((E26)/SURFACE)/I13</f>
        <v>5.3349948677719707</v>
      </c>
    </row>
    <row r="37" spans="1:9" x14ac:dyDescent="0.25">
      <c r="A37" s="6" t="s">
        <v>122</v>
      </c>
      <c r="B37" s="25">
        <f>RECON_C_P_SQM</f>
        <v>1200</v>
      </c>
      <c r="C37" s="79"/>
      <c r="H37" s="22" t="s">
        <v>104</v>
      </c>
      <c r="I37" s="23">
        <v>0.2</v>
      </c>
    </row>
    <row r="38" spans="1:9" x14ac:dyDescent="0.25">
      <c r="A38" s="6" t="s">
        <v>110</v>
      </c>
      <c r="B38" s="25">
        <f>MAINT_P_SQM</f>
        <v>20</v>
      </c>
      <c r="C38" s="79"/>
      <c r="H38" s="22" t="s">
        <v>106</v>
      </c>
      <c r="I38" s="24">
        <f>I36+(I36*I37)</f>
        <v>6.4019938413263651</v>
      </c>
    </row>
    <row r="39" spans="1:9" x14ac:dyDescent="0.25">
      <c r="A39" s="6" t="s">
        <v>123</v>
      </c>
      <c r="B39" s="25">
        <f>(RENT_P_SQM_PM_BASE*SURFACE)*12</f>
        <v>192000</v>
      </c>
      <c r="C39" s="79"/>
      <c r="H39" s="22" t="s">
        <v>105</v>
      </c>
      <c r="I39" s="17"/>
    </row>
    <row r="40" spans="1:9" x14ac:dyDescent="0.25">
      <c r="A40" s="6" t="s">
        <v>140</v>
      </c>
      <c r="B40" s="42">
        <f>B36/B39</f>
        <v>16.671858961787411</v>
      </c>
      <c r="C40" s="79"/>
      <c r="H40" s="14" t="str">
        <f>D8</f>
        <v>Store</v>
      </c>
      <c r="I40" s="17">
        <f>$I$38*F8</f>
        <v>2560.797536530546</v>
      </c>
    </row>
    <row r="41" spans="1:9" x14ac:dyDescent="0.25">
      <c r="A41" s="6" t="s">
        <v>139</v>
      </c>
      <c r="B41" s="49"/>
      <c r="C41" s="79"/>
      <c r="H41" s="14" t="str">
        <f>D9</f>
        <v>Cultural center</v>
      </c>
      <c r="I41" s="17">
        <f>$I$38*F9</f>
        <v>3841.1963047958188</v>
      </c>
    </row>
    <row r="42" spans="1:9" x14ac:dyDescent="0.25">
      <c r="H42" s="14" t="str">
        <f>D10</f>
        <v>Appartments</v>
      </c>
      <c r="I42" s="17">
        <f>$I$38*F10</f>
        <v>2560.797536530546</v>
      </c>
    </row>
    <row r="43" spans="1:9" x14ac:dyDescent="0.25">
      <c r="H43" s="14" t="str">
        <f>D11</f>
        <v>Coworking area</v>
      </c>
      <c r="I43" s="17">
        <f>$I$38*F11</f>
        <v>1280.398768265273</v>
      </c>
    </row>
    <row r="44" spans="1:9" ht="14.45" customHeight="1" x14ac:dyDescent="0.25">
      <c r="A44" s="95" t="s">
        <v>137</v>
      </c>
      <c r="B44" s="96"/>
      <c r="C44" s="96"/>
      <c r="D44" s="79" t="s">
        <v>145</v>
      </c>
      <c r="H44" s="30" t="str">
        <f>D12</f>
        <v>Other</v>
      </c>
      <c r="I44" s="31">
        <f>$I$38*F12</f>
        <v>2560.797536530546</v>
      </c>
    </row>
    <row r="45" spans="1:9" ht="24" x14ac:dyDescent="0.25">
      <c r="A45" s="39" t="s">
        <v>114</v>
      </c>
      <c r="B45" s="39" t="s">
        <v>115</v>
      </c>
      <c r="C45" s="40" t="s">
        <v>113</v>
      </c>
      <c r="D45" s="79"/>
      <c r="H45" s="32" t="s">
        <v>121</v>
      </c>
      <c r="I45" s="33">
        <f>SUM(I40:I44)</f>
        <v>12803.987682652731</v>
      </c>
    </row>
    <row r="46" spans="1:9" ht="14.45" customHeight="1" x14ac:dyDescent="0.25">
      <c r="A46" s="28" t="s">
        <v>120</v>
      </c>
      <c r="B46" s="44"/>
      <c r="C46" s="51" t="e">
        <f t="shared" ref="C46:C51" si="0">(B46*$C$52)/$B$52</f>
        <v>#DIV/0!</v>
      </c>
      <c r="D46" s="79"/>
    </row>
    <row r="47" spans="1:9" x14ac:dyDescent="0.25">
      <c r="A47" s="6" t="s">
        <v>112</v>
      </c>
      <c r="B47" s="44"/>
      <c r="C47" s="51" t="e">
        <f t="shared" si="0"/>
        <v>#DIV/0!</v>
      </c>
      <c r="D47" s="79"/>
    </row>
    <row r="48" spans="1:9" x14ac:dyDescent="0.25">
      <c r="A48" s="6" t="s">
        <v>116</v>
      </c>
      <c r="B48" s="44"/>
      <c r="C48" s="51" t="e">
        <f t="shared" si="0"/>
        <v>#DIV/0!</v>
      </c>
      <c r="D48" s="79"/>
    </row>
    <row r="49" spans="1:8" x14ac:dyDescent="0.25">
      <c r="A49" s="6" t="s">
        <v>117</v>
      </c>
      <c r="B49" s="44"/>
      <c r="C49" s="51" t="e">
        <f t="shared" si="0"/>
        <v>#DIV/0!</v>
      </c>
      <c r="D49" s="79"/>
    </row>
    <row r="50" spans="1:8" x14ac:dyDescent="0.25">
      <c r="A50" s="6" t="s">
        <v>118</v>
      </c>
      <c r="B50" s="44"/>
      <c r="C50" s="51" t="e">
        <f t="shared" si="0"/>
        <v>#DIV/0!</v>
      </c>
      <c r="D50" s="79"/>
    </row>
    <row r="51" spans="1:8" x14ac:dyDescent="0.25">
      <c r="A51" s="6" t="s">
        <v>119</v>
      </c>
      <c r="B51" s="6">
        <f>SUM(B46:B50)*10%</f>
        <v>0</v>
      </c>
      <c r="C51" s="51" t="e">
        <f t="shared" si="0"/>
        <v>#DIV/0!</v>
      </c>
      <c r="D51" s="79"/>
    </row>
    <row r="52" spans="1:8" x14ac:dyDescent="0.25">
      <c r="A52" s="6"/>
      <c r="B52" s="6">
        <f>SUM(B46:B51)</f>
        <v>0</v>
      </c>
      <c r="C52" s="29">
        <v>1</v>
      </c>
      <c r="D52" s="79"/>
    </row>
    <row r="54" spans="1:8" x14ac:dyDescent="0.25">
      <c r="A54" s="63" t="s">
        <v>138</v>
      </c>
      <c r="B54" s="63"/>
      <c r="C54" s="63"/>
      <c r="D54" s="63"/>
      <c r="E54" s="63"/>
      <c r="F54" s="63"/>
    </row>
    <row r="55" spans="1:8" x14ac:dyDescent="0.25">
      <c r="A55" s="34" t="s">
        <v>114</v>
      </c>
      <c r="B55" s="35" t="s">
        <v>124</v>
      </c>
      <c r="C55" s="35" t="s">
        <v>77</v>
      </c>
      <c r="D55" s="34" t="s">
        <v>125</v>
      </c>
      <c r="E55" s="35" t="s">
        <v>124</v>
      </c>
      <c r="F55" s="35" t="s">
        <v>77</v>
      </c>
      <c r="G55" s="78" t="s">
        <v>148</v>
      </c>
      <c r="H55" s="78"/>
    </row>
    <row r="56" spans="1:8" x14ac:dyDescent="0.25">
      <c r="A56" s="36" t="s">
        <v>126</v>
      </c>
      <c r="B56" s="50"/>
      <c r="C56" s="41" t="e">
        <f>(B56*$C$61)/$B$61</f>
        <v>#DIV/0!</v>
      </c>
      <c r="D56" s="36" t="s">
        <v>127</v>
      </c>
      <c r="E56" s="50"/>
      <c r="F56" s="41" t="e">
        <f>(E56*$F$61)/$E$61</f>
        <v>#DIV/0!</v>
      </c>
      <c r="G56" s="78"/>
      <c r="H56" s="78"/>
    </row>
    <row r="57" spans="1:8" x14ac:dyDescent="0.25">
      <c r="A57" s="36" t="s">
        <v>128</v>
      </c>
      <c r="B57" s="50"/>
      <c r="C57" s="41" t="e">
        <f>(B57*$C$61)/$B$61</f>
        <v>#DIV/0!</v>
      </c>
      <c r="D57" s="36" t="s">
        <v>129</v>
      </c>
      <c r="E57" s="50"/>
      <c r="F57" s="41" t="e">
        <f>(E57*$F$61)/$E$61</f>
        <v>#DIV/0!</v>
      </c>
      <c r="G57" s="78"/>
      <c r="H57" s="78"/>
    </row>
    <row r="58" spans="1:8" x14ac:dyDescent="0.25">
      <c r="A58" s="36" t="s">
        <v>130</v>
      </c>
      <c r="B58" s="50"/>
      <c r="C58" s="41" t="e">
        <f>(B58*$C$61)/$B$61</f>
        <v>#DIV/0!</v>
      </c>
      <c r="D58" s="36" t="s">
        <v>131</v>
      </c>
      <c r="E58" s="50"/>
      <c r="F58" s="41" t="e">
        <f>(E58*$F$61)/$E$61</f>
        <v>#DIV/0!</v>
      </c>
      <c r="G58" s="78"/>
      <c r="H58" s="78"/>
    </row>
    <row r="59" spans="1:8" x14ac:dyDescent="0.25">
      <c r="A59" s="36" t="s">
        <v>132</v>
      </c>
      <c r="B59" s="50"/>
      <c r="C59" s="41" t="e">
        <f>(B59*$C$61)/$B$61</f>
        <v>#DIV/0!</v>
      </c>
      <c r="D59" s="36" t="s">
        <v>133</v>
      </c>
      <c r="E59" s="50"/>
      <c r="F59" s="41" t="e">
        <f>(E59*$F$61)/$E$61</f>
        <v>#DIV/0!</v>
      </c>
      <c r="G59" s="78"/>
      <c r="H59" s="78"/>
    </row>
    <row r="60" spans="1:8" x14ac:dyDescent="0.25">
      <c r="A60" s="36" t="s">
        <v>81</v>
      </c>
      <c r="B60" s="50"/>
      <c r="C60" s="41" t="e">
        <f>(B60*$C$61)/$B$61</f>
        <v>#DIV/0!</v>
      </c>
      <c r="D60" s="36" t="s">
        <v>134</v>
      </c>
      <c r="E60" s="50"/>
      <c r="F60" s="41" t="e">
        <f>(E60*$F$61)/$E$61</f>
        <v>#DIV/0!</v>
      </c>
      <c r="G60" s="78"/>
      <c r="H60" s="78"/>
    </row>
    <row r="61" spans="1:8" x14ac:dyDescent="0.25">
      <c r="A61" s="37" t="s">
        <v>135</v>
      </c>
      <c r="B61" s="37"/>
      <c r="C61" s="38">
        <v>1</v>
      </c>
      <c r="D61" s="37" t="s">
        <v>136</v>
      </c>
      <c r="E61" s="37">
        <f>SUM(E56:E60)</f>
        <v>0</v>
      </c>
      <c r="F61" s="38">
        <v>1</v>
      </c>
    </row>
  </sheetData>
  <mergeCells count="17">
    <mergeCell ref="J5:K7"/>
    <mergeCell ref="H35:I35"/>
    <mergeCell ref="H10:I10"/>
    <mergeCell ref="D14:F15"/>
    <mergeCell ref="H4:I4"/>
    <mergeCell ref="D21:E21"/>
    <mergeCell ref="D28:E30"/>
    <mergeCell ref="G55:H60"/>
    <mergeCell ref="D44:D52"/>
    <mergeCell ref="A2:B2"/>
    <mergeCell ref="C17:E18"/>
    <mergeCell ref="C19:E19"/>
    <mergeCell ref="A35:B35"/>
    <mergeCell ref="A54:F54"/>
    <mergeCell ref="A44:C44"/>
    <mergeCell ref="A3:B3"/>
    <mergeCell ref="C35:C41"/>
  </mergeCells>
  <conditionalFormatting sqref="B4:B28">
    <cfRule type="notContainsErrors" dxfId="2" priority="1">
      <formula>NOT(ISERROR(B4))</formula>
    </cfRule>
  </conditionalFormatting>
  <dataValidations count="2">
    <dataValidation type="whole" allowBlank="1" showInputMessage="1" showErrorMessage="1" sqref="B4 B24">
      <formula1>1</formula1>
      <formula2>30</formula2>
    </dataValidation>
    <dataValidation type="whole" allowBlank="1" showInputMessage="1" showErrorMessage="1" sqref="B25">
      <formula1>0</formula1>
      <formula2>10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pane xSplit="1" ySplit="1" topLeftCell="B2" activePane="bottomRight" state="frozen"/>
      <selection pane="topRight" activeCell="B1" sqref="B1"/>
      <selection pane="bottomLeft" activeCell="A2" sqref="A2"/>
      <selection pane="bottomRight" activeCell="H2" sqref="H2"/>
    </sheetView>
  </sheetViews>
  <sheetFormatPr defaultColWidth="8.7109375" defaultRowHeight="15" x14ac:dyDescent="0.25"/>
  <cols>
    <col min="1" max="1" width="10.7109375" customWidth="1"/>
    <col min="2" max="6" width="16.7109375" customWidth="1"/>
  </cols>
  <sheetData>
    <row r="1" spans="1:8" x14ac:dyDescent="0.25">
      <c r="A1" s="2" t="s">
        <v>34</v>
      </c>
      <c r="B1" s="2" t="s">
        <v>35</v>
      </c>
      <c r="C1" s="2" t="s">
        <v>36</v>
      </c>
      <c r="D1" s="2" t="s">
        <v>37</v>
      </c>
      <c r="E1" s="2" t="s">
        <v>38</v>
      </c>
      <c r="F1" s="2" t="s">
        <v>39</v>
      </c>
      <c r="H1" s="2" t="s">
        <v>40</v>
      </c>
    </row>
    <row r="2" spans="1:8" x14ac:dyDescent="0.25">
      <c r="A2" s="6">
        <v>0</v>
      </c>
      <c r="B2" s="7">
        <v>0</v>
      </c>
      <c r="C2" s="7">
        <v>0</v>
      </c>
      <c r="D2" s="7">
        <v>0</v>
      </c>
      <c r="E2" s="7">
        <v>0</v>
      </c>
      <c r="F2" s="7">
        <f>LOAN_AMT</f>
        <v>1200000</v>
      </c>
      <c r="H2">
        <f>IFERROR(MATCH(0,F3:F40,0)-1,IF(LOAN_TERM&gt;0,LOAN_TERM,NA()))</f>
        <v>24</v>
      </c>
    </row>
    <row r="3" spans="1:8" x14ac:dyDescent="0.25">
      <c r="A3" s="4">
        <v>1</v>
      </c>
      <c r="B3" s="8">
        <f>LOAN_AMT</f>
        <v>1200000</v>
      </c>
      <c r="C3" s="8">
        <f>IF(1&lt;=GRACE_YEARS, B3*INT_RATE, -PMT(INT_RATE,LOAN_TERM-GRACE_YEARS,LOAN_AMT))</f>
        <v>54000</v>
      </c>
      <c r="D3" s="8">
        <f t="shared" ref="D3:D32" si="0">B3*INT_RATE</f>
        <v>54000</v>
      </c>
      <c r="E3" s="8">
        <f t="shared" ref="E3:E32" si="1">C3-D3</f>
        <v>0</v>
      </c>
      <c r="F3" s="8">
        <f t="shared" ref="F3:F32" si="2">MAX(0,B3-E3)</f>
        <v>1200000</v>
      </c>
    </row>
    <row r="4" spans="1:8" x14ac:dyDescent="0.25">
      <c r="A4" s="4">
        <v>2</v>
      </c>
      <c r="B4" s="8">
        <f t="shared" ref="B4:B32" si="3">F3</f>
        <v>1200000</v>
      </c>
      <c r="C4" s="8">
        <f>IF(2&lt;=GRACE_YEARS, B4*INT_RATE, -PMT(INT_RATE,LOAN_TERM-GRACE_YEARS,LOAN_AMT))</f>
        <v>54000</v>
      </c>
      <c r="D4" s="8">
        <f t="shared" si="0"/>
        <v>54000</v>
      </c>
      <c r="E4" s="8">
        <f t="shared" si="1"/>
        <v>0</v>
      </c>
      <c r="F4" s="8">
        <f t="shared" si="2"/>
        <v>1200000</v>
      </c>
    </row>
    <row r="5" spans="1:8" x14ac:dyDescent="0.25">
      <c r="A5" s="4">
        <v>3</v>
      </c>
      <c r="B5" s="8">
        <f t="shared" si="3"/>
        <v>1200000</v>
      </c>
      <c r="C5" s="8">
        <f>IF(3&lt;=GRACE_YEARS, B5*INT_RATE, -PMT(INT_RATE,LOAN_TERM-GRACE_YEARS,LOAN_AMT))</f>
        <v>84818.991616526822</v>
      </c>
      <c r="D5" s="8">
        <f t="shared" si="0"/>
        <v>54000</v>
      </c>
      <c r="E5" s="8">
        <f t="shared" si="1"/>
        <v>30818.991616526822</v>
      </c>
      <c r="F5" s="8">
        <f t="shared" si="2"/>
        <v>1169181.0083834731</v>
      </c>
    </row>
    <row r="6" spans="1:8" x14ac:dyDescent="0.25">
      <c r="A6" s="4">
        <v>4</v>
      </c>
      <c r="B6" s="8">
        <f t="shared" si="3"/>
        <v>1169181.0083834731</v>
      </c>
      <c r="C6" s="8">
        <f>IF(4&lt;=GRACE_YEARS, B6*INT_RATE, -PMT(INT_RATE,LOAN_TERM-GRACE_YEARS,LOAN_AMT))</f>
        <v>84818.991616526822</v>
      </c>
      <c r="D6" s="8">
        <f t="shared" si="0"/>
        <v>52613.145377256289</v>
      </c>
      <c r="E6" s="8">
        <f t="shared" si="1"/>
        <v>32205.846239270533</v>
      </c>
      <c r="F6" s="8">
        <f t="shared" si="2"/>
        <v>1136975.1621442025</v>
      </c>
    </row>
    <row r="7" spans="1:8" x14ac:dyDescent="0.25">
      <c r="A7" s="4">
        <v>5</v>
      </c>
      <c r="B7" s="8">
        <f t="shared" si="3"/>
        <v>1136975.1621442025</v>
      </c>
      <c r="C7" s="8">
        <f>IF(5&lt;=GRACE_YEARS, B7*INT_RATE, -PMT(INT_RATE,LOAN_TERM-GRACE_YEARS,LOAN_AMT))</f>
        <v>84818.991616526822</v>
      </c>
      <c r="D7" s="8">
        <f t="shared" si="0"/>
        <v>51163.882296489108</v>
      </c>
      <c r="E7" s="8">
        <f t="shared" si="1"/>
        <v>33655.109320037714</v>
      </c>
      <c r="F7" s="8">
        <f t="shared" si="2"/>
        <v>1103320.0528241647</v>
      </c>
    </row>
    <row r="8" spans="1:8" x14ac:dyDescent="0.25">
      <c r="A8" s="4">
        <v>6</v>
      </c>
      <c r="B8" s="8">
        <f t="shared" si="3"/>
        <v>1103320.0528241647</v>
      </c>
      <c r="C8" s="8">
        <f>IF(6&lt;=GRACE_YEARS, B8*INT_RATE, -PMT(INT_RATE,LOAN_TERM-GRACE_YEARS,LOAN_AMT))</f>
        <v>84818.991616526822</v>
      </c>
      <c r="D8" s="8">
        <f t="shared" si="0"/>
        <v>49649.402377087412</v>
      </c>
      <c r="E8" s="8">
        <f t="shared" si="1"/>
        <v>35169.58923943941</v>
      </c>
      <c r="F8" s="8">
        <f t="shared" si="2"/>
        <v>1068150.4635847253</v>
      </c>
    </row>
    <row r="9" spans="1:8" x14ac:dyDescent="0.25">
      <c r="A9" s="4">
        <v>7</v>
      </c>
      <c r="B9" s="8">
        <f t="shared" si="3"/>
        <v>1068150.4635847253</v>
      </c>
      <c r="C9" s="8">
        <f>IF(7&lt;=GRACE_YEARS, B9*INT_RATE, -PMT(INT_RATE,LOAN_TERM-GRACE_YEARS,LOAN_AMT))</f>
        <v>84818.991616526822</v>
      </c>
      <c r="D9" s="8">
        <f t="shared" si="0"/>
        <v>48066.770861312638</v>
      </c>
      <c r="E9" s="8">
        <f t="shared" si="1"/>
        <v>36752.220755214184</v>
      </c>
      <c r="F9" s="8">
        <f t="shared" si="2"/>
        <v>1031398.2428295111</v>
      </c>
    </row>
    <row r="10" spans="1:8" x14ac:dyDescent="0.25">
      <c r="A10" s="4">
        <v>8</v>
      </c>
      <c r="B10" s="8">
        <f t="shared" si="3"/>
        <v>1031398.2428295111</v>
      </c>
      <c r="C10" s="8">
        <f>IF(8&lt;=GRACE_YEARS, B10*INT_RATE, -PMT(INT_RATE,LOAN_TERM-GRACE_YEARS,LOAN_AMT))</f>
        <v>84818.991616526822</v>
      </c>
      <c r="D10" s="8">
        <f t="shared" si="0"/>
        <v>46412.920927327999</v>
      </c>
      <c r="E10" s="8">
        <f t="shared" si="1"/>
        <v>38406.070689198823</v>
      </c>
      <c r="F10" s="8">
        <f t="shared" si="2"/>
        <v>992992.17214031226</v>
      </c>
    </row>
    <row r="11" spans="1:8" x14ac:dyDescent="0.25">
      <c r="A11" s="4">
        <v>9</v>
      </c>
      <c r="B11" s="8">
        <f t="shared" si="3"/>
        <v>992992.17214031226</v>
      </c>
      <c r="C11" s="8">
        <f>IF(9&lt;=GRACE_YEARS, B11*INT_RATE, -PMT(INT_RATE,LOAN_TERM-GRACE_YEARS,LOAN_AMT))</f>
        <v>84818.991616526822</v>
      </c>
      <c r="D11" s="8">
        <f t="shared" si="0"/>
        <v>44684.647746314047</v>
      </c>
      <c r="E11" s="8">
        <f t="shared" si="1"/>
        <v>40134.343870212775</v>
      </c>
      <c r="F11" s="8">
        <f t="shared" si="2"/>
        <v>952857.82827009948</v>
      </c>
    </row>
    <row r="12" spans="1:8" x14ac:dyDescent="0.25">
      <c r="A12" s="4">
        <v>10</v>
      </c>
      <c r="B12" s="8">
        <f t="shared" si="3"/>
        <v>952857.82827009948</v>
      </c>
      <c r="C12" s="8">
        <f>IF(10&lt;=GRACE_YEARS, B12*INT_RATE, -PMT(INT_RATE,LOAN_TERM-GRACE_YEARS,LOAN_AMT))</f>
        <v>84818.991616526822</v>
      </c>
      <c r="D12" s="8">
        <f t="shared" si="0"/>
        <v>42878.602272154472</v>
      </c>
      <c r="E12" s="8">
        <f t="shared" si="1"/>
        <v>41940.38934437235</v>
      </c>
      <c r="F12" s="8">
        <f t="shared" si="2"/>
        <v>910917.43892572715</v>
      </c>
    </row>
    <row r="13" spans="1:8" x14ac:dyDescent="0.25">
      <c r="A13" s="4">
        <v>11</v>
      </c>
      <c r="B13" s="8">
        <f t="shared" si="3"/>
        <v>910917.43892572715</v>
      </c>
      <c r="C13" s="8">
        <f>IF(11&lt;=GRACE_YEARS, B13*INT_RATE, -PMT(INT_RATE,LOAN_TERM-GRACE_YEARS,LOAN_AMT))</f>
        <v>84818.991616526822</v>
      </c>
      <c r="D13" s="8">
        <f t="shared" si="0"/>
        <v>40991.284751657724</v>
      </c>
      <c r="E13" s="8">
        <f t="shared" si="1"/>
        <v>43827.706864869098</v>
      </c>
      <c r="F13" s="8">
        <f t="shared" si="2"/>
        <v>867089.73206085805</v>
      </c>
    </row>
    <row r="14" spans="1:8" x14ac:dyDescent="0.25">
      <c r="A14" s="4">
        <v>12</v>
      </c>
      <c r="B14" s="8">
        <f t="shared" si="3"/>
        <v>867089.73206085805</v>
      </c>
      <c r="C14" s="8">
        <f>IF(12&lt;=GRACE_YEARS, B14*INT_RATE, -PMT(INT_RATE,LOAN_TERM-GRACE_YEARS,LOAN_AMT))</f>
        <v>84818.991616526822</v>
      </c>
      <c r="D14" s="8">
        <f t="shared" si="0"/>
        <v>39019.037942738614</v>
      </c>
      <c r="E14" s="8">
        <f t="shared" si="1"/>
        <v>45799.953673788208</v>
      </c>
      <c r="F14" s="8">
        <f t="shared" si="2"/>
        <v>821289.77838706982</v>
      </c>
    </row>
    <row r="15" spans="1:8" x14ac:dyDescent="0.25">
      <c r="A15" s="4">
        <v>13</v>
      </c>
      <c r="B15" s="8">
        <f t="shared" si="3"/>
        <v>821289.77838706982</v>
      </c>
      <c r="C15" s="8">
        <f>IF(13&lt;=GRACE_YEARS, B15*INT_RATE, -PMT(INT_RATE,LOAN_TERM-GRACE_YEARS,LOAN_AMT))</f>
        <v>84818.991616526822</v>
      </c>
      <c r="D15" s="8">
        <f t="shared" si="0"/>
        <v>36958.040027418137</v>
      </c>
      <c r="E15" s="8">
        <f t="shared" si="1"/>
        <v>47860.951589108685</v>
      </c>
      <c r="F15" s="8">
        <f t="shared" si="2"/>
        <v>773428.82679796114</v>
      </c>
    </row>
    <row r="16" spans="1:8" x14ac:dyDescent="0.25">
      <c r="A16" s="4">
        <v>14</v>
      </c>
      <c r="B16" s="8">
        <f t="shared" si="3"/>
        <v>773428.82679796114</v>
      </c>
      <c r="C16" s="8">
        <f>IF(14&lt;=GRACE_YEARS, B16*INT_RATE, -PMT(INT_RATE,LOAN_TERM-GRACE_YEARS,LOAN_AMT))</f>
        <v>84818.991616526822</v>
      </c>
      <c r="D16" s="8">
        <f t="shared" si="0"/>
        <v>34804.297205908253</v>
      </c>
      <c r="E16" s="8">
        <f t="shared" si="1"/>
        <v>50014.694410618569</v>
      </c>
      <c r="F16" s="8">
        <f t="shared" si="2"/>
        <v>723414.13238734263</v>
      </c>
    </row>
    <row r="17" spans="1:6" x14ac:dyDescent="0.25">
      <c r="A17" s="4">
        <v>15</v>
      </c>
      <c r="B17" s="8">
        <f t="shared" si="3"/>
        <v>723414.13238734263</v>
      </c>
      <c r="C17" s="8">
        <f>IF(15&lt;=GRACE_YEARS, B17*INT_RATE, -PMT(INT_RATE,LOAN_TERM-GRACE_YEARS,LOAN_AMT))</f>
        <v>84818.991616526822</v>
      </c>
      <c r="D17" s="8">
        <f t="shared" si="0"/>
        <v>32553.635957430419</v>
      </c>
      <c r="E17" s="8">
        <f t="shared" si="1"/>
        <v>52265.3556590964</v>
      </c>
      <c r="F17" s="8">
        <f t="shared" si="2"/>
        <v>671148.77672824624</v>
      </c>
    </row>
    <row r="18" spans="1:6" x14ac:dyDescent="0.25">
      <c r="A18" s="4">
        <v>16</v>
      </c>
      <c r="B18" s="8">
        <f t="shared" si="3"/>
        <v>671148.77672824624</v>
      </c>
      <c r="C18" s="8">
        <f>IF(16&lt;=GRACE_YEARS, B18*INT_RATE, -PMT(INT_RATE,LOAN_TERM-GRACE_YEARS,LOAN_AMT))</f>
        <v>84818.991616526822</v>
      </c>
      <c r="D18" s="8">
        <f t="shared" si="0"/>
        <v>30201.694952771079</v>
      </c>
      <c r="E18" s="8">
        <f t="shared" si="1"/>
        <v>54617.29666375574</v>
      </c>
      <c r="F18" s="8">
        <f t="shared" si="2"/>
        <v>616531.48006449046</v>
      </c>
    </row>
    <row r="19" spans="1:6" x14ac:dyDescent="0.25">
      <c r="A19" s="4">
        <v>17</v>
      </c>
      <c r="B19" s="8">
        <f t="shared" si="3"/>
        <v>616531.48006449046</v>
      </c>
      <c r="C19" s="8">
        <f>IF(17&lt;=GRACE_YEARS, B19*INT_RATE, -PMT(INT_RATE,LOAN_TERM-GRACE_YEARS,LOAN_AMT))</f>
        <v>84818.991616526822</v>
      </c>
      <c r="D19" s="8">
        <f t="shared" si="0"/>
        <v>27743.916602902071</v>
      </c>
      <c r="E19" s="8">
        <f t="shared" si="1"/>
        <v>57075.075013624752</v>
      </c>
      <c r="F19" s="8">
        <f t="shared" si="2"/>
        <v>559456.40505086572</v>
      </c>
    </row>
    <row r="20" spans="1:6" x14ac:dyDescent="0.25">
      <c r="A20" s="4">
        <v>18</v>
      </c>
      <c r="B20" s="8">
        <f t="shared" si="3"/>
        <v>559456.40505086572</v>
      </c>
      <c r="C20" s="8">
        <f>IF(18&lt;=GRACE_YEARS, B20*INT_RATE, -PMT(INT_RATE,LOAN_TERM-GRACE_YEARS,LOAN_AMT))</f>
        <v>84818.991616526822</v>
      </c>
      <c r="D20" s="8">
        <f t="shared" si="0"/>
        <v>25175.538227288958</v>
      </c>
      <c r="E20" s="8">
        <f t="shared" si="1"/>
        <v>59643.453389237868</v>
      </c>
      <c r="F20" s="8">
        <f t="shared" si="2"/>
        <v>499812.95166162786</v>
      </c>
    </row>
    <row r="21" spans="1:6" x14ac:dyDescent="0.25">
      <c r="A21" s="4">
        <v>19</v>
      </c>
      <c r="B21" s="8">
        <f t="shared" si="3"/>
        <v>499812.95166162786</v>
      </c>
      <c r="C21" s="8">
        <f>IF(19&lt;=GRACE_YEARS, B21*INT_RATE, -PMT(INT_RATE,LOAN_TERM-GRACE_YEARS,LOAN_AMT))</f>
        <v>84818.991616526822</v>
      </c>
      <c r="D21" s="8">
        <f t="shared" si="0"/>
        <v>22491.582824773253</v>
      </c>
      <c r="E21" s="8">
        <f t="shared" si="1"/>
        <v>62327.408791753565</v>
      </c>
      <c r="F21" s="8">
        <f t="shared" si="2"/>
        <v>437485.54286987428</v>
      </c>
    </row>
    <row r="22" spans="1:6" x14ac:dyDescent="0.25">
      <c r="A22" s="4">
        <v>20</v>
      </c>
      <c r="B22" s="8">
        <f t="shared" si="3"/>
        <v>437485.54286987428</v>
      </c>
      <c r="C22" s="8">
        <f>IF(20&lt;=GRACE_YEARS, B22*INT_RATE, -PMT(INT_RATE,LOAN_TERM-GRACE_YEARS,LOAN_AMT))</f>
        <v>84818.991616526822</v>
      </c>
      <c r="D22" s="8">
        <f t="shared" si="0"/>
        <v>19686.849429144342</v>
      </c>
      <c r="E22" s="8">
        <f t="shared" si="1"/>
        <v>65132.14218738248</v>
      </c>
      <c r="F22" s="8">
        <f t="shared" si="2"/>
        <v>372353.40068249177</v>
      </c>
    </row>
    <row r="23" spans="1:6" x14ac:dyDescent="0.25">
      <c r="A23" s="4">
        <v>21</v>
      </c>
      <c r="B23" s="8">
        <f t="shared" si="3"/>
        <v>372353.40068249177</v>
      </c>
      <c r="C23" s="8">
        <f>IF(21&lt;=GRACE_YEARS, B23*INT_RATE, -PMT(INT_RATE,LOAN_TERM-GRACE_YEARS,LOAN_AMT))</f>
        <v>84818.991616526822</v>
      </c>
      <c r="D23" s="8">
        <f t="shared" si="0"/>
        <v>16755.903030712128</v>
      </c>
      <c r="E23" s="8">
        <f t="shared" si="1"/>
        <v>68063.088585814694</v>
      </c>
      <c r="F23" s="8">
        <f t="shared" si="2"/>
        <v>304290.31209667708</v>
      </c>
    </row>
    <row r="24" spans="1:6" x14ac:dyDescent="0.25">
      <c r="A24" s="4">
        <v>22</v>
      </c>
      <c r="B24" s="8">
        <f t="shared" si="3"/>
        <v>304290.31209667708</v>
      </c>
      <c r="C24" s="8">
        <f>IF(22&lt;=GRACE_YEARS, B24*INT_RATE, -PMT(INT_RATE,LOAN_TERM-GRACE_YEARS,LOAN_AMT))</f>
        <v>84818.991616526822</v>
      </c>
      <c r="D24" s="8">
        <f t="shared" si="0"/>
        <v>13693.064044350469</v>
      </c>
      <c r="E24" s="8">
        <f t="shared" si="1"/>
        <v>71125.927572176355</v>
      </c>
      <c r="F24" s="8">
        <f t="shared" si="2"/>
        <v>233164.38452450073</v>
      </c>
    </row>
    <row r="25" spans="1:6" x14ac:dyDescent="0.25">
      <c r="A25" s="4">
        <v>23</v>
      </c>
      <c r="B25" s="8">
        <f t="shared" si="3"/>
        <v>233164.38452450073</v>
      </c>
      <c r="C25" s="8">
        <f>IF(23&lt;=GRACE_YEARS, B25*INT_RATE, -PMT(INT_RATE,LOAN_TERM-GRACE_YEARS,LOAN_AMT))</f>
        <v>84818.991616526822</v>
      </c>
      <c r="D25" s="8">
        <f t="shared" si="0"/>
        <v>10492.397303602533</v>
      </c>
      <c r="E25" s="8">
        <f t="shared" si="1"/>
        <v>74326.594312924295</v>
      </c>
      <c r="F25" s="8">
        <f t="shared" si="2"/>
        <v>158837.79021157644</v>
      </c>
    </row>
    <row r="26" spans="1:6" x14ac:dyDescent="0.25">
      <c r="A26" s="4">
        <v>24</v>
      </c>
      <c r="B26" s="8">
        <f t="shared" si="3"/>
        <v>158837.79021157644</v>
      </c>
      <c r="C26" s="8">
        <f>IF(24&lt;=GRACE_YEARS, B26*INT_RATE, -PMT(INT_RATE,LOAN_TERM-GRACE_YEARS,LOAN_AMT))</f>
        <v>84818.991616526822</v>
      </c>
      <c r="D26" s="8">
        <f t="shared" si="0"/>
        <v>7147.7005595209394</v>
      </c>
      <c r="E26" s="8">
        <f t="shared" si="1"/>
        <v>77671.291057005888</v>
      </c>
      <c r="F26" s="8">
        <f t="shared" si="2"/>
        <v>81166.499154570556</v>
      </c>
    </row>
    <row r="27" spans="1:6" x14ac:dyDescent="0.25">
      <c r="A27" s="4">
        <v>25</v>
      </c>
      <c r="B27" s="8">
        <f t="shared" si="3"/>
        <v>81166.499154570556</v>
      </c>
      <c r="C27" s="8">
        <f>IF(25&lt;=GRACE_YEARS, B27*INT_RATE, -PMT(INT_RATE,LOAN_TERM-GRACE_YEARS,LOAN_AMT))</f>
        <v>84818.991616526822</v>
      </c>
      <c r="D27" s="8">
        <f t="shared" si="0"/>
        <v>3652.492461955675</v>
      </c>
      <c r="E27" s="8">
        <f t="shared" si="1"/>
        <v>81166.499154571153</v>
      </c>
      <c r="F27" s="8">
        <f t="shared" si="2"/>
        <v>0</v>
      </c>
    </row>
    <row r="28" spans="1:6" x14ac:dyDescent="0.25">
      <c r="A28" s="4">
        <v>26</v>
      </c>
      <c r="B28" s="8">
        <f t="shared" si="3"/>
        <v>0</v>
      </c>
      <c r="C28" s="8">
        <f>IF(26&lt;=GRACE_YEARS, B28*INT_RATE, -PMT(INT_RATE,LOAN_TERM-GRACE_YEARS,LOAN_AMT))</f>
        <v>84818.991616526822</v>
      </c>
      <c r="D28" s="8">
        <f t="shared" si="0"/>
        <v>0</v>
      </c>
      <c r="E28" s="8">
        <f t="shared" si="1"/>
        <v>84818.991616526822</v>
      </c>
      <c r="F28" s="8">
        <f t="shared" si="2"/>
        <v>0</v>
      </c>
    </row>
    <row r="29" spans="1:6" x14ac:dyDescent="0.25">
      <c r="A29" s="4">
        <v>27</v>
      </c>
      <c r="B29" s="8">
        <f t="shared" si="3"/>
        <v>0</v>
      </c>
      <c r="C29" s="8">
        <f>IF(27&lt;=GRACE_YEARS, B29*INT_RATE, -PMT(INT_RATE,LOAN_TERM-GRACE_YEARS,LOAN_AMT))</f>
        <v>84818.991616526822</v>
      </c>
      <c r="D29" s="8">
        <f t="shared" si="0"/>
        <v>0</v>
      </c>
      <c r="E29" s="8">
        <f t="shared" si="1"/>
        <v>84818.991616526822</v>
      </c>
      <c r="F29" s="8">
        <f t="shared" si="2"/>
        <v>0</v>
      </c>
    </row>
    <row r="30" spans="1:6" x14ac:dyDescent="0.25">
      <c r="A30" s="4">
        <v>28</v>
      </c>
      <c r="B30" s="8">
        <f t="shared" si="3"/>
        <v>0</v>
      </c>
      <c r="C30" s="8">
        <f>IF(28&lt;=GRACE_YEARS, B30*INT_RATE, -PMT(INT_RATE,LOAN_TERM-GRACE_YEARS,LOAN_AMT))</f>
        <v>84818.991616526822</v>
      </c>
      <c r="D30" s="8">
        <f t="shared" si="0"/>
        <v>0</v>
      </c>
      <c r="E30" s="8">
        <f t="shared" si="1"/>
        <v>84818.991616526822</v>
      </c>
      <c r="F30" s="8">
        <f t="shared" si="2"/>
        <v>0</v>
      </c>
    </row>
    <row r="31" spans="1:6" x14ac:dyDescent="0.25">
      <c r="A31" s="4">
        <v>29</v>
      </c>
      <c r="B31" s="8">
        <f t="shared" si="3"/>
        <v>0</v>
      </c>
      <c r="C31" s="8">
        <f>IF(29&lt;=GRACE_YEARS, B31*INT_RATE, -PMT(INT_RATE,LOAN_TERM-GRACE_YEARS,LOAN_AMT))</f>
        <v>84818.991616526822</v>
      </c>
      <c r="D31" s="8">
        <f t="shared" si="0"/>
        <v>0</v>
      </c>
      <c r="E31" s="8">
        <f t="shared" si="1"/>
        <v>84818.991616526822</v>
      </c>
      <c r="F31" s="8">
        <f t="shared" si="2"/>
        <v>0</v>
      </c>
    </row>
    <row r="32" spans="1:6" x14ac:dyDescent="0.25">
      <c r="A32" s="4">
        <v>30</v>
      </c>
      <c r="B32" s="8">
        <f t="shared" si="3"/>
        <v>0</v>
      </c>
      <c r="C32" s="8">
        <f>IF(30&lt;=GRACE_YEARS, B32*INT_RATE, -PMT(INT_RATE,LOAN_TERM-GRACE_YEARS,LOAN_AMT))</f>
        <v>84818.991616526822</v>
      </c>
      <c r="D32" s="8">
        <f t="shared" si="0"/>
        <v>0</v>
      </c>
      <c r="E32" s="8">
        <f t="shared" si="1"/>
        <v>84818.991616526822</v>
      </c>
      <c r="F32" s="8">
        <f t="shared" si="2"/>
        <v>0</v>
      </c>
    </row>
  </sheetData>
  <conditionalFormatting sqref="F3:F40">
    <cfRule type="cellIs" dxfId="1"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pane xSplit="1" ySplit="1" topLeftCell="J2" activePane="bottomRight" state="frozen"/>
      <selection pane="topRight" activeCell="B1" sqref="B1"/>
      <selection pane="bottomLeft" activeCell="A2" sqref="A2"/>
      <selection pane="bottomRight" activeCell="R1" sqref="R1:U1"/>
    </sheetView>
  </sheetViews>
  <sheetFormatPr defaultColWidth="8.7109375" defaultRowHeight="15" x14ac:dyDescent="0.25"/>
  <cols>
    <col min="1" max="1" width="12.7109375" customWidth="1"/>
    <col min="2" max="15" width="16.7109375" customWidth="1"/>
    <col min="16" max="16" width="14.7109375" customWidth="1"/>
    <col min="17" max="17" width="15.28515625" customWidth="1"/>
    <col min="18" max="18" width="16.28515625" customWidth="1"/>
    <col min="19" max="19" width="17.42578125" customWidth="1"/>
    <col min="20" max="20" width="14.42578125" customWidth="1"/>
  </cols>
  <sheetData>
    <row r="1" spans="1:21" x14ac:dyDescent="0.25">
      <c r="A1" s="2" t="s">
        <v>34</v>
      </c>
      <c r="B1" s="2" t="s">
        <v>41</v>
      </c>
      <c r="C1" s="2" t="s">
        <v>42</v>
      </c>
      <c r="D1" s="2" t="s">
        <v>43</v>
      </c>
      <c r="E1" s="2" t="s">
        <v>44</v>
      </c>
      <c r="F1" s="2" t="s">
        <v>45</v>
      </c>
      <c r="G1" s="2" t="s">
        <v>46</v>
      </c>
      <c r="H1" s="2" t="s">
        <v>47</v>
      </c>
      <c r="I1" s="2" t="s">
        <v>48</v>
      </c>
      <c r="J1" s="2" t="s">
        <v>49</v>
      </c>
      <c r="K1" s="2" t="s">
        <v>50</v>
      </c>
      <c r="L1" s="2" t="s">
        <v>51</v>
      </c>
      <c r="M1" s="2" t="s">
        <v>37</v>
      </c>
      <c r="N1" s="2" t="s">
        <v>38</v>
      </c>
      <c r="O1" s="2" t="s">
        <v>52</v>
      </c>
      <c r="P1" s="2" t="s">
        <v>53</v>
      </c>
      <c r="Q1" s="2" t="s">
        <v>54</v>
      </c>
      <c r="R1" s="2" t="s">
        <v>55</v>
      </c>
      <c r="S1" s="2" t="s">
        <v>56</v>
      </c>
      <c r="T1" s="2" t="s">
        <v>57</v>
      </c>
      <c r="U1" s="2" t="s">
        <v>58</v>
      </c>
    </row>
    <row r="2" spans="1:21" x14ac:dyDescent="0.25">
      <c r="A2" s="4">
        <v>0</v>
      </c>
      <c r="B2">
        <f>START_YEAR</f>
        <v>2025</v>
      </c>
      <c r="C2" s="8">
        <f>GRANT_Y0</f>
        <v>0</v>
      </c>
      <c r="D2" s="8"/>
      <c r="E2" s="8"/>
      <c r="F2" s="8">
        <f t="shared" ref="F2:F32" si="0">SUM(C2:E2)</f>
        <v>0</v>
      </c>
      <c r="G2" s="8">
        <v>0</v>
      </c>
      <c r="H2" s="8">
        <v>0</v>
      </c>
      <c r="I2" s="8">
        <f t="shared" ref="I2:I32" si="1">G2+H2</f>
        <v>0</v>
      </c>
      <c r="J2" s="8">
        <f t="shared" ref="J2:J32" si="2">F2-I2</f>
        <v>0</v>
      </c>
      <c r="K2" s="8">
        <v>0</v>
      </c>
      <c r="L2" s="8">
        <v>0</v>
      </c>
      <c r="M2" s="8">
        <v>0</v>
      </c>
      <c r="N2" s="8">
        <v>0</v>
      </c>
      <c r="O2" s="8">
        <v>0</v>
      </c>
      <c r="P2" s="8">
        <f>SURFACE*RECON_C_P_SQM+ADDITIONAL_CAPEX</f>
        <v>2400000</v>
      </c>
      <c r="Q2" s="8">
        <f>LOAN_AMT</f>
        <v>1200000</v>
      </c>
      <c r="R2" s="8">
        <f t="shared" ref="R2:R32" si="3">J2-M2-N2-P2+Q2</f>
        <v>-1200000</v>
      </c>
      <c r="S2" s="8">
        <f>R2</f>
        <v>-1200000</v>
      </c>
      <c r="T2" s="8">
        <f>S2</f>
        <v>-1200000</v>
      </c>
      <c r="U2" s="5"/>
    </row>
    <row r="3" spans="1:21" x14ac:dyDescent="0.25">
      <c r="A3" s="4">
        <v>1</v>
      </c>
      <c r="B3">
        <f>START_YEAR+1</f>
        <v>2026</v>
      </c>
      <c r="C3" s="8">
        <f t="shared" ref="C3:C32" si="4">GRANT_ANNUAL</f>
        <v>0</v>
      </c>
      <c r="D3" s="8">
        <f>SURFACE*RENT_P_SQM_PM_BASE*12*MIN(1,MAX(0,OCC_RATE_BASE+(1-1)*OCC_DELTA))*(1+RENT_GROWTH)^0</f>
        <v>163200</v>
      </c>
      <c r="E3" s="8">
        <f>BIZ_REV_BASE*(1+BIZ_GROWTH)^0</f>
        <v>50000</v>
      </c>
      <c r="F3" s="8">
        <f t="shared" si="0"/>
        <v>213200</v>
      </c>
      <c r="G3" s="8">
        <f>SURFACE*MAINT_P_SQM*(1+MAINT_GROWTH)^0</f>
        <v>40000</v>
      </c>
      <c r="H3" s="8">
        <f>STAFF_BASE*(1+STAFF_GROWTH)^0</f>
        <v>60000</v>
      </c>
      <c r="I3" s="8">
        <f t="shared" si="1"/>
        <v>100000</v>
      </c>
      <c r="J3" s="8">
        <f t="shared" si="2"/>
        <v>113200</v>
      </c>
      <c r="K3" s="8">
        <f t="shared" ref="K3:K32" si="5">IF(DEPR_YEARS&gt;0,(SURFACE*RECON_C_P_SQM+ADDITIONAL_CAPEX)/DEPR_YEARS,0)</f>
        <v>80000</v>
      </c>
      <c r="L3" s="8">
        <f t="shared" ref="L3:L32" si="6">J3-K3</f>
        <v>33200</v>
      </c>
      <c r="M3" s="8">
        <f>INDEX(Loan!D:D,3)</f>
        <v>54000</v>
      </c>
      <c r="N3" s="8">
        <f>INDEX(Loan!E:E,3)</f>
        <v>0</v>
      </c>
      <c r="O3" s="8">
        <f t="shared" ref="O3:O32" si="7">M3+N3</f>
        <v>54000</v>
      </c>
      <c r="P3" s="8">
        <v>0</v>
      </c>
      <c r="Q3" s="8">
        <v>0</v>
      </c>
      <c r="R3" s="8">
        <f t="shared" si="3"/>
        <v>59200</v>
      </c>
      <c r="S3" s="8">
        <f t="shared" ref="S3:S32" si="8">R3</f>
        <v>59200</v>
      </c>
      <c r="T3" s="8">
        <f t="shared" ref="T3:T32" si="9">T2+S3</f>
        <v>-1140800</v>
      </c>
      <c r="U3" s="5">
        <f t="shared" ref="U3:U32" si="10">IF(O3&gt;0,J3/O3,NA())</f>
        <v>2.0962962962962961</v>
      </c>
    </row>
    <row r="4" spans="1:21" x14ac:dyDescent="0.25">
      <c r="A4" s="4">
        <v>2</v>
      </c>
      <c r="B4">
        <f>START_YEAR+2</f>
        <v>2027</v>
      </c>
      <c r="C4" s="8">
        <f t="shared" si="4"/>
        <v>0</v>
      </c>
      <c r="D4" s="8">
        <f>SURFACE*RENT_P_SQM_PM_BASE*12*MIN(1,MAX(0,OCC_RATE_BASE+(2-1)*OCC_DELTA))*(1+RENT_GROWTH)^1</f>
        <v>166464</v>
      </c>
      <c r="E4" s="8">
        <f>BIZ_REV_BASE*(1+BIZ_GROWTH)^1</f>
        <v>51000</v>
      </c>
      <c r="F4" s="8">
        <f t="shared" si="0"/>
        <v>217464</v>
      </c>
      <c r="G4" s="8">
        <f>SURFACE*MAINT_P_SQM*(1+MAINT_GROWTH)^1</f>
        <v>40800</v>
      </c>
      <c r="H4" s="8">
        <f>STAFF_BASE*(1+STAFF_GROWTH)^1</f>
        <v>61200</v>
      </c>
      <c r="I4" s="8">
        <f t="shared" si="1"/>
        <v>102000</v>
      </c>
      <c r="J4" s="8">
        <f t="shared" si="2"/>
        <v>115464</v>
      </c>
      <c r="K4" s="8">
        <f t="shared" si="5"/>
        <v>80000</v>
      </c>
      <c r="L4" s="8">
        <f t="shared" si="6"/>
        <v>35464</v>
      </c>
      <c r="M4" s="8">
        <f>INDEX(Loan!D:D,4)</f>
        <v>54000</v>
      </c>
      <c r="N4" s="8">
        <f>INDEX(Loan!E:E,4)</f>
        <v>0</v>
      </c>
      <c r="O4" s="8">
        <f t="shared" si="7"/>
        <v>54000</v>
      </c>
      <c r="P4" s="8">
        <v>0</v>
      </c>
      <c r="Q4" s="8">
        <v>0</v>
      </c>
      <c r="R4" s="8">
        <f t="shared" si="3"/>
        <v>61464</v>
      </c>
      <c r="S4" s="8">
        <f t="shared" si="8"/>
        <v>61464</v>
      </c>
      <c r="T4" s="8">
        <f t="shared" si="9"/>
        <v>-1079336</v>
      </c>
      <c r="U4" s="5">
        <f t="shared" si="10"/>
        <v>2.1382222222222222</v>
      </c>
    </row>
    <row r="5" spans="1:21" x14ac:dyDescent="0.25">
      <c r="A5" s="4">
        <v>3</v>
      </c>
      <c r="B5">
        <f>START_YEAR+3</f>
        <v>2028</v>
      </c>
      <c r="C5" s="8">
        <f t="shared" si="4"/>
        <v>0</v>
      </c>
      <c r="D5" s="8">
        <f>SURFACE*RENT_P_SQM_PM_BASE*12*MIN(1,MAX(0,OCC_RATE_BASE+(3-1)*OCC_DELTA))*(1+RENT_GROWTH)^2</f>
        <v>169793.28</v>
      </c>
      <c r="E5" s="8">
        <f>BIZ_REV_BASE*(1+BIZ_GROWTH)^2</f>
        <v>52020</v>
      </c>
      <c r="F5" s="8">
        <f t="shared" si="0"/>
        <v>221813.28</v>
      </c>
      <c r="G5" s="8">
        <f>SURFACE*MAINT_P_SQM*(1+MAINT_GROWTH)^2</f>
        <v>41616</v>
      </c>
      <c r="H5" s="8">
        <f>STAFF_BASE*(1+STAFF_GROWTH)^2</f>
        <v>62424</v>
      </c>
      <c r="I5" s="8">
        <f t="shared" si="1"/>
        <v>104040</v>
      </c>
      <c r="J5" s="8">
        <f t="shared" si="2"/>
        <v>117773.28</v>
      </c>
      <c r="K5" s="8">
        <f t="shared" si="5"/>
        <v>80000</v>
      </c>
      <c r="L5" s="8">
        <f t="shared" si="6"/>
        <v>37773.279999999999</v>
      </c>
      <c r="M5" s="8">
        <f>INDEX(Loan!D:D,5)</f>
        <v>54000</v>
      </c>
      <c r="N5" s="8">
        <f>INDEX(Loan!E:E,5)</f>
        <v>30818.991616526822</v>
      </c>
      <c r="O5" s="8">
        <f t="shared" si="7"/>
        <v>84818.991616526822</v>
      </c>
      <c r="P5" s="8">
        <v>0</v>
      </c>
      <c r="Q5" s="8">
        <v>0</v>
      </c>
      <c r="R5" s="8">
        <f t="shared" si="3"/>
        <v>32954.288383473177</v>
      </c>
      <c r="S5" s="8">
        <f t="shared" si="8"/>
        <v>32954.288383473177</v>
      </c>
      <c r="T5" s="8">
        <f t="shared" si="9"/>
        <v>-1046381.7116165268</v>
      </c>
      <c r="U5" s="5">
        <f t="shared" si="10"/>
        <v>1.3885248781600947</v>
      </c>
    </row>
    <row r="6" spans="1:21" x14ac:dyDescent="0.25">
      <c r="A6" s="4">
        <v>4</v>
      </c>
      <c r="B6">
        <f>START_YEAR+4</f>
        <v>2029</v>
      </c>
      <c r="C6" s="8">
        <f t="shared" si="4"/>
        <v>0</v>
      </c>
      <c r="D6" s="8">
        <f>SURFACE*RENT_P_SQM_PM_BASE*12*MIN(1,MAX(0,OCC_RATE_BASE+(4-1)*OCC_DELTA))*(1+RENT_GROWTH)^3</f>
        <v>173189.14559999999</v>
      </c>
      <c r="E6" s="8">
        <f>BIZ_REV_BASE*(1+BIZ_GROWTH)^3</f>
        <v>53060.399999999994</v>
      </c>
      <c r="F6" s="8">
        <f t="shared" si="0"/>
        <v>226249.54559999998</v>
      </c>
      <c r="G6" s="8">
        <f>SURFACE*MAINT_P_SQM*(1+MAINT_GROWTH)^3</f>
        <v>42448.32</v>
      </c>
      <c r="H6" s="8">
        <f>STAFF_BASE*(1+STAFF_GROWTH)^3</f>
        <v>63672.479999999996</v>
      </c>
      <c r="I6" s="8">
        <f t="shared" si="1"/>
        <v>106120.79999999999</v>
      </c>
      <c r="J6" s="8">
        <f t="shared" si="2"/>
        <v>120128.74559999999</v>
      </c>
      <c r="K6" s="8">
        <f t="shared" si="5"/>
        <v>80000</v>
      </c>
      <c r="L6" s="8">
        <f t="shared" si="6"/>
        <v>40128.745599999995</v>
      </c>
      <c r="M6" s="8">
        <f>INDEX(Loan!D:D,6)</f>
        <v>52613.145377256289</v>
      </c>
      <c r="N6" s="8">
        <f>INDEX(Loan!E:E,6)</f>
        <v>32205.846239270533</v>
      </c>
      <c r="O6" s="8">
        <f t="shared" si="7"/>
        <v>84818.991616526822</v>
      </c>
      <c r="P6" s="8">
        <v>0</v>
      </c>
      <c r="Q6" s="8">
        <v>0</v>
      </c>
      <c r="R6" s="8">
        <f t="shared" si="3"/>
        <v>35309.753983473165</v>
      </c>
      <c r="S6" s="8">
        <f t="shared" si="8"/>
        <v>35309.753983473165</v>
      </c>
      <c r="T6" s="8">
        <f t="shared" si="9"/>
        <v>-1011071.9576330537</v>
      </c>
      <c r="U6" s="5">
        <f t="shared" si="10"/>
        <v>1.4162953757232966</v>
      </c>
    </row>
    <row r="7" spans="1:21" x14ac:dyDescent="0.25">
      <c r="A7" s="4">
        <v>5</v>
      </c>
      <c r="B7">
        <f>START_YEAR+5</f>
        <v>2030</v>
      </c>
      <c r="C7" s="8">
        <f t="shared" si="4"/>
        <v>0</v>
      </c>
      <c r="D7" s="8">
        <f>SURFACE*RENT_P_SQM_PM_BASE*12*MIN(1,MAX(0,OCC_RATE_BASE+(5-1)*OCC_DELTA))*(1+RENT_GROWTH)^4</f>
        <v>176652.92851199998</v>
      </c>
      <c r="E7" s="8">
        <f>BIZ_REV_BASE*(1+BIZ_GROWTH)^4</f>
        <v>54121.608</v>
      </c>
      <c r="F7" s="8">
        <f t="shared" si="0"/>
        <v>230774.53651199999</v>
      </c>
      <c r="G7" s="8">
        <f>SURFACE*MAINT_P_SQM*(1+MAINT_GROWTH)^4</f>
        <v>43297.286399999997</v>
      </c>
      <c r="H7" s="8">
        <f>STAFF_BASE*(1+STAFF_GROWTH)^4</f>
        <v>64945.929599999996</v>
      </c>
      <c r="I7" s="8">
        <f t="shared" si="1"/>
        <v>108243.21599999999</v>
      </c>
      <c r="J7" s="8">
        <f t="shared" si="2"/>
        <v>122531.32051200001</v>
      </c>
      <c r="K7" s="8">
        <f t="shared" si="5"/>
        <v>80000</v>
      </c>
      <c r="L7" s="8">
        <f t="shared" si="6"/>
        <v>42531.320512000006</v>
      </c>
      <c r="M7" s="8">
        <f>INDEX(Loan!D:D,7)</f>
        <v>51163.882296489108</v>
      </c>
      <c r="N7" s="8">
        <f>INDEX(Loan!E:E,7)</f>
        <v>33655.109320037714</v>
      </c>
      <c r="O7" s="8">
        <f t="shared" si="7"/>
        <v>84818.991616526822</v>
      </c>
      <c r="P7" s="8">
        <v>0</v>
      </c>
      <c r="Q7" s="8">
        <v>0</v>
      </c>
      <c r="R7" s="8">
        <f t="shared" si="3"/>
        <v>37712.328895473176</v>
      </c>
      <c r="S7" s="8">
        <f t="shared" si="8"/>
        <v>37712.328895473176</v>
      </c>
      <c r="T7" s="8">
        <f t="shared" si="9"/>
        <v>-973359.6287375805</v>
      </c>
      <c r="U7" s="5">
        <f t="shared" si="10"/>
        <v>1.4446212832377625</v>
      </c>
    </row>
    <row r="8" spans="1:21" x14ac:dyDescent="0.25">
      <c r="A8" s="4">
        <v>6</v>
      </c>
      <c r="B8">
        <f>START_YEAR+6</f>
        <v>2031</v>
      </c>
      <c r="C8" s="8">
        <f t="shared" si="4"/>
        <v>0</v>
      </c>
      <c r="D8" s="8">
        <f>SURFACE*RENT_P_SQM_PM_BASE*12*MIN(1,MAX(0,OCC_RATE_BASE+(6-1)*OCC_DELTA))*(1+RENT_GROWTH)^5</f>
        <v>180185.98708224</v>
      </c>
      <c r="E8" s="8">
        <f>BIZ_REV_BASE*(1+BIZ_GROWTH)^5</f>
        <v>55204.040160000004</v>
      </c>
      <c r="F8" s="8">
        <f t="shared" si="0"/>
        <v>235390.02724224</v>
      </c>
      <c r="G8" s="8">
        <f>SURFACE*MAINT_P_SQM*(1+MAINT_GROWTH)^5</f>
        <v>44163.232128000003</v>
      </c>
      <c r="H8" s="8">
        <f>STAFF_BASE*(1+STAFF_GROWTH)^5</f>
        <v>66244.848192000005</v>
      </c>
      <c r="I8" s="8">
        <f t="shared" si="1"/>
        <v>110408.08032000001</v>
      </c>
      <c r="J8" s="8">
        <f t="shared" si="2"/>
        <v>124981.94692223999</v>
      </c>
      <c r="K8" s="8">
        <f t="shared" si="5"/>
        <v>80000</v>
      </c>
      <c r="L8" s="8">
        <f t="shared" si="6"/>
        <v>44981.946922239993</v>
      </c>
      <c r="M8" s="8">
        <f>INDEX(Loan!D:D,8)</f>
        <v>49649.402377087412</v>
      </c>
      <c r="N8" s="8">
        <f>INDEX(Loan!E:E,8)</f>
        <v>35169.58923943941</v>
      </c>
      <c r="O8" s="8">
        <f t="shared" si="7"/>
        <v>84818.991616526822</v>
      </c>
      <c r="P8" s="8">
        <v>0</v>
      </c>
      <c r="Q8" s="8">
        <v>0</v>
      </c>
      <c r="R8" s="8">
        <f t="shared" si="3"/>
        <v>40162.955305713163</v>
      </c>
      <c r="S8" s="8">
        <f t="shared" si="8"/>
        <v>40162.955305713163</v>
      </c>
      <c r="T8" s="8">
        <f t="shared" si="9"/>
        <v>-933196.67343186738</v>
      </c>
      <c r="U8" s="5">
        <f t="shared" si="10"/>
        <v>1.4735137089025176</v>
      </c>
    </row>
    <row r="9" spans="1:21" x14ac:dyDescent="0.25">
      <c r="A9" s="4">
        <v>7</v>
      </c>
      <c r="B9">
        <f>START_YEAR+7</f>
        <v>2032</v>
      </c>
      <c r="C9" s="8">
        <f t="shared" si="4"/>
        <v>0</v>
      </c>
      <c r="D9" s="8">
        <f>SURFACE*RENT_P_SQM_PM_BASE*12*MIN(1,MAX(0,OCC_RATE_BASE+(7-1)*OCC_DELTA))*(1+RENT_GROWTH)^6</f>
        <v>183789.7068238848</v>
      </c>
      <c r="E9" s="8">
        <f>BIZ_REV_BASE*(1+BIZ_GROWTH)^6</f>
        <v>56308.120963200003</v>
      </c>
      <c r="F9" s="8">
        <f t="shared" si="0"/>
        <v>240097.8277870848</v>
      </c>
      <c r="G9" s="8">
        <f>SURFACE*MAINT_P_SQM*(1+MAINT_GROWTH)^6</f>
        <v>45046.496770559999</v>
      </c>
      <c r="H9" s="8">
        <f>STAFF_BASE*(1+STAFF_GROWTH)^6</f>
        <v>67569.745155840006</v>
      </c>
      <c r="I9" s="8">
        <f t="shared" si="1"/>
        <v>112616.24192640001</v>
      </c>
      <c r="J9" s="8">
        <f t="shared" si="2"/>
        <v>127481.58586068479</v>
      </c>
      <c r="K9" s="8">
        <f t="shared" si="5"/>
        <v>80000</v>
      </c>
      <c r="L9" s="8">
        <f t="shared" si="6"/>
        <v>47481.585860684791</v>
      </c>
      <c r="M9" s="8">
        <f>INDEX(Loan!D:D,9)</f>
        <v>48066.770861312638</v>
      </c>
      <c r="N9" s="8">
        <f>INDEX(Loan!E:E,9)</f>
        <v>36752.220755214184</v>
      </c>
      <c r="O9" s="8">
        <f t="shared" si="7"/>
        <v>84818.991616526822</v>
      </c>
      <c r="P9" s="8">
        <v>0</v>
      </c>
      <c r="Q9" s="8">
        <v>0</v>
      </c>
      <c r="R9" s="8">
        <f t="shared" si="3"/>
        <v>42662.594244157961</v>
      </c>
      <c r="S9" s="8">
        <f t="shared" si="8"/>
        <v>42662.594244157961</v>
      </c>
      <c r="T9" s="8">
        <f t="shared" si="9"/>
        <v>-890534.07918770937</v>
      </c>
      <c r="U9" s="5">
        <f t="shared" si="10"/>
        <v>1.502983983080568</v>
      </c>
    </row>
    <row r="10" spans="1:21" x14ac:dyDescent="0.25">
      <c r="A10" s="4">
        <v>8</v>
      </c>
      <c r="B10">
        <f>START_YEAR+8</f>
        <v>2033</v>
      </c>
      <c r="C10" s="8">
        <f t="shared" si="4"/>
        <v>0</v>
      </c>
      <c r="D10" s="8">
        <f>SURFACE*RENT_P_SQM_PM_BASE*12*MIN(1,MAX(0,OCC_RATE_BASE+(8-1)*OCC_DELTA))*(1+RENT_GROWTH)^7</f>
        <v>187465.50096036246</v>
      </c>
      <c r="E10" s="8">
        <f>BIZ_REV_BASE*(1+BIZ_GROWTH)^7</f>
        <v>57434.283382463989</v>
      </c>
      <c r="F10" s="8">
        <f t="shared" si="0"/>
        <v>244899.78434282646</v>
      </c>
      <c r="G10" s="8">
        <f>SURFACE*MAINT_P_SQM*(1+MAINT_GROWTH)^7</f>
        <v>45947.426705971193</v>
      </c>
      <c r="H10" s="8">
        <f>STAFF_BASE*(1+STAFF_GROWTH)^7</f>
        <v>68921.140058956793</v>
      </c>
      <c r="I10" s="8">
        <f t="shared" si="1"/>
        <v>114868.56676492799</v>
      </c>
      <c r="J10" s="8">
        <f t="shared" si="2"/>
        <v>130031.21757789847</v>
      </c>
      <c r="K10" s="8">
        <f t="shared" si="5"/>
        <v>80000</v>
      </c>
      <c r="L10" s="8">
        <f t="shared" si="6"/>
        <v>50031.217577898467</v>
      </c>
      <c r="M10" s="8">
        <f>INDEX(Loan!D:D,10)</f>
        <v>46412.920927327999</v>
      </c>
      <c r="N10" s="8">
        <f>INDEX(Loan!E:E,10)</f>
        <v>38406.070689198823</v>
      </c>
      <c r="O10" s="8">
        <f t="shared" si="7"/>
        <v>84818.991616526822</v>
      </c>
      <c r="P10" s="8">
        <v>0</v>
      </c>
      <c r="Q10" s="8">
        <v>0</v>
      </c>
      <c r="R10" s="8">
        <f t="shared" si="3"/>
        <v>45212.225961371645</v>
      </c>
      <c r="S10" s="8">
        <f t="shared" si="8"/>
        <v>45212.225961371645</v>
      </c>
      <c r="T10" s="8">
        <f t="shared" si="9"/>
        <v>-845321.8532263377</v>
      </c>
      <c r="U10" s="5">
        <f t="shared" si="10"/>
        <v>1.5330436627421791</v>
      </c>
    </row>
    <row r="11" spans="1:21" x14ac:dyDescent="0.25">
      <c r="A11" s="4">
        <v>9</v>
      </c>
      <c r="B11">
        <f>START_YEAR+9</f>
        <v>2034</v>
      </c>
      <c r="C11" s="8">
        <f t="shared" si="4"/>
        <v>0</v>
      </c>
      <c r="D11" s="8">
        <f>SURFACE*RENT_P_SQM_PM_BASE*12*MIN(1,MAX(0,OCC_RATE_BASE+(9-1)*OCC_DELTA))*(1+RENT_GROWTH)^8</f>
        <v>191214.81097956974</v>
      </c>
      <c r="E11" s="8">
        <f>BIZ_REV_BASE*(1+BIZ_GROWTH)^8</f>
        <v>58582.969050113279</v>
      </c>
      <c r="F11" s="8">
        <f t="shared" si="0"/>
        <v>249797.78002968302</v>
      </c>
      <c r="G11" s="8">
        <f>SURFACE*MAINT_P_SQM*(1+MAINT_GROWTH)^8</f>
        <v>46866.375240090623</v>
      </c>
      <c r="H11" s="8">
        <f>STAFF_BASE*(1+STAFF_GROWTH)^8</f>
        <v>70299.562860135935</v>
      </c>
      <c r="I11" s="8">
        <f t="shared" si="1"/>
        <v>117165.93810022656</v>
      </c>
      <c r="J11" s="8">
        <f t="shared" si="2"/>
        <v>132631.84192945645</v>
      </c>
      <c r="K11" s="8">
        <f t="shared" si="5"/>
        <v>80000</v>
      </c>
      <c r="L11" s="8">
        <f t="shared" si="6"/>
        <v>52631.841929456452</v>
      </c>
      <c r="M11" s="8">
        <f>INDEX(Loan!D:D,11)</f>
        <v>44684.647746314047</v>
      </c>
      <c r="N11" s="8">
        <f>INDEX(Loan!E:E,11)</f>
        <v>40134.343870212775</v>
      </c>
      <c r="O11" s="8">
        <f t="shared" si="7"/>
        <v>84818.991616526822</v>
      </c>
      <c r="P11" s="8">
        <v>0</v>
      </c>
      <c r="Q11" s="8">
        <v>0</v>
      </c>
      <c r="R11" s="8">
        <f t="shared" si="3"/>
        <v>47812.85031292963</v>
      </c>
      <c r="S11" s="8">
        <f t="shared" si="8"/>
        <v>47812.85031292963</v>
      </c>
      <c r="T11" s="8">
        <f t="shared" si="9"/>
        <v>-797509.0029134081</v>
      </c>
      <c r="U11" s="5">
        <f t="shared" si="10"/>
        <v>1.563704535997023</v>
      </c>
    </row>
    <row r="12" spans="1:21" x14ac:dyDescent="0.25">
      <c r="A12" s="4">
        <v>10</v>
      </c>
      <c r="B12">
        <f>START_YEAR+10</f>
        <v>2035</v>
      </c>
      <c r="C12" s="8">
        <f t="shared" si="4"/>
        <v>0</v>
      </c>
      <c r="D12" s="8">
        <f>SURFACE*RENT_P_SQM_PM_BASE*12*MIN(1,MAX(0,OCC_RATE_BASE+(10-1)*OCC_DELTA))*(1+RENT_GROWTH)^9</f>
        <v>195039.10719916114</v>
      </c>
      <c r="E12" s="8">
        <f>BIZ_REV_BASE*(1+BIZ_GROWTH)^9</f>
        <v>59754.62843111554</v>
      </c>
      <c r="F12" s="8">
        <f t="shared" si="0"/>
        <v>254793.73563027667</v>
      </c>
      <c r="G12" s="8">
        <f>SURFACE*MAINT_P_SQM*(1+MAINT_GROWTH)^9</f>
        <v>47803.702744892435</v>
      </c>
      <c r="H12" s="8">
        <f>STAFF_BASE*(1+STAFF_GROWTH)^9</f>
        <v>71705.554117338645</v>
      </c>
      <c r="I12" s="8">
        <f t="shared" si="1"/>
        <v>119509.25686223108</v>
      </c>
      <c r="J12" s="8">
        <f t="shared" si="2"/>
        <v>135284.47876804561</v>
      </c>
      <c r="K12" s="8">
        <f t="shared" si="5"/>
        <v>80000</v>
      </c>
      <c r="L12" s="8">
        <f t="shared" si="6"/>
        <v>55284.478768045607</v>
      </c>
      <c r="M12" s="8">
        <f>INDEX(Loan!D:D,12)</f>
        <v>42878.602272154472</v>
      </c>
      <c r="N12" s="8">
        <f>INDEX(Loan!E:E,12)</f>
        <v>41940.38934437235</v>
      </c>
      <c r="O12" s="8">
        <f t="shared" si="7"/>
        <v>84818.991616526822</v>
      </c>
      <c r="P12" s="8">
        <v>0</v>
      </c>
      <c r="Q12" s="8">
        <v>0</v>
      </c>
      <c r="R12" s="8">
        <f t="shared" si="3"/>
        <v>50465.487151518784</v>
      </c>
      <c r="S12" s="8">
        <f t="shared" si="8"/>
        <v>50465.487151518784</v>
      </c>
      <c r="T12" s="8">
        <f t="shared" si="9"/>
        <v>-747043.51576188928</v>
      </c>
      <c r="U12" s="5">
        <f t="shared" si="10"/>
        <v>1.5949786267169637</v>
      </c>
    </row>
    <row r="13" spans="1:21" x14ac:dyDescent="0.25">
      <c r="A13" s="4">
        <v>11</v>
      </c>
      <c r="B13">
        <f>START_YEAR+11</f>
        <v>2036</v>
      </c>
      <c r="C13" s="8">
        <f t="shared" si="4"/>
        <v>0</v>
      </c>
      <c r="D13" s="8">
        <f>SURFACE*RENT_P_SQM_PM_BASE*12*MIN(1,MAX(0,OCC_RATE_BASE+(11-1)*OCC_DELTA))*(1+RENT_GROWTH)^10</f>
        <v>198939.88934314437</v>
      </c>
      <c r="E13" s="8">
        <f>BIZ_REV_BASE*(1+BIZ_GROWTH)^10</f>
        <v>60949.720999737852</v>
      </c>
      <c r="F13" s="8">
        <f t="shared" si="0"/>
        <v>259889.61034288222</v>
      </c>
      <c r="G13" s="8">
        <f>SURFACE*MAINT_P_SQM*(1+MAINT_GROWTH)^10</f>
        <v>48759.776799790285</v>
      </c>
      <c r="H13" s="8">
        <f>STAFF_BASE*(1+STAFF_GROWTH)^10</f>
        <v>73139.66519968542</v>
      </c>
      <c r="I13" s="8">
        <f t="shared" si="1"/>
        <v>121899.4419994757</v>
      </c>
      <c r="J13" s="8">
        <f t="shared" si="2"/>
        <v>137990.16834340652</v>
      </c>
      <c r="K13" s="8">
        <f t="shared" si="5"/>
        <v>80000</v>
      </c>
      <c r="L13" s="8">
        <f t="shared" si="6"/>
        <v>57990.16834340652</v>
      </c>
      <c r="M13" s="8">
        <f>INDEX(Loan!D:D,13)</f>
        <v>40991.284751657724</v>
      </c>
      <c r="N13" s="8">
        <f>INDEX(Loan!E:E,13)</f>
        <v>43827.706864869098</v>
      </c>
      <c r="O13" s="8">
        <f t="shared" si="7"/>
        <v>84818.991616526822</v>
      </c>
      <c r="P13" s="8">
        <v>0</v>
      </c>
      <c r="Q13" s="8">
        <v>0</v>
      </c>
      <c r="R13" s="8">
        <f t="shared" si="3"/>
        <v>53171.176726879705</v>
      </c>
      <c r="S13" s="8">
        <f t="shared" si="8"/>
        <v>53171.176726879705</v>
      </c>
      <c r="T13" s="8">
        <f t="shared" si="9"/>
        <v>-693872.33903500962</v>
      </c>
      <c r="U13" s="5">
        <f t="shared" si="10"/>
        <v>1.6268781992513031</v>
      </c>
    </row>
    <row r="14" spans="1:21" x14ac:dyDescent="0.25">
      <c r="A14" s="4">
        <v>12</v>
      </c>
      <c r="B14">
        <f>START_YEAR+12</f>
        <v>2037</v>
      </c>
      <c r="C14" s="8">
        <f t="shared" si="4"/>
        <v>0</v>
      </c>
      <c r="D14" s="8">
        <f>SURFACE*RENT_P_SQM_PM_BASE*12*MIN(1,MAX(0,OCC_RATE_BASE+(12-1)*OCC_DELTA))*(1+RENT_GROWTH)^11</f>
        <v>202918.68713000722</v>
      </c>
      <c r="E14" s="8">
        <f>BIZ_REV_BASE*(1+BIZ_GROWTH)^11</f>
        <v>62168.715419732602</v>
      </c>
      <c r="F14" s="8">
        <f t="shared" si="0"/>
        <v>265087.40254973981</v>
      </c>
      <c r="G14" s="8">
        <f>SURFACE*MAINT_P_SQM*(1+MAINT_GROWTH)^11</f>
        <v>49734.972335786078</v>
      </c>
      <c r="H14" s="8">
        <f>STAFF_BASE*(1+STAFF_GROWTH)^11</f>
        <v>74602.458503679125</v>
      </c>
      <c r="I14" s="8">
        <f t="shared" si="1"/>
        <v>124337.4308394652</v>
      </c>
      <c r="J14" s="8">
        <f t="shared" si="2"/>
        <v>140749.97171027461</v>
      </c>
      <c r="K14" s="8">
        <f t="shared" si="5"/>
        <v>80000</v>
      </c>
      <c r="L14" s="8">
        <f t="shared" si="6"/>
        <v>60749.971710274607</v>
      </c>
      <c r="M14" s="8">
        <f>INDEX(Loan!D:D,14)</f>
        <v>39019.037942738614</v>
      </c>
      <c r="N14" s="8">
        <f>INDEX(Loan!E:E,14)</f>
        <v>45799.953673788208</v>
      </c>
      <c r="O14" s="8">
        <f t="shared" si="7"/>
        <v>84818.991616526822</v>
      </c>
      <c r="P14" s="8">
        <v>0</v>
      </c>
      <c r="Q14" s="8">
        <v>0</v>
      </c>
      <c r="R14" s="8">
        <f t="shared" si="3"/>
        <v>55930.980093747778</v>
      </c>
      <c r="S14" s="8">
        <f t="shared" si="8"/>
        <v>55930.980093747778</v>
      </c>
      <c r="T14" s="8">
        <f t="shared" si="9"/>
        <v>-637941.35894126189</v>
      </c>
      <c r="U14" s="5">
        <f t="shared" si="10"/>
        <v>1.6594157632363284</v>
      </c>
    </row>
    <row r="15" spans="1:21" x14ac:dyDescent="0.25">
      <c r="A15" s="4">
        <v>13</v>
      </c>
      <c r="B15">
        <f>START_YEAR+13</f>
        <v>2038</v>
      </c>
      <c r="C15" s="8">
        <f t="shared" si="4"/>
        <v>0</v>
      </c>
      <c r="D15" s="8">
        <f>SURFACE*RENT_P_SQM_PM_BASE*12*MIN(1,MAX(0,OCC_RATE_BASE+(13-1)*OCC_DELTA))*(1+RENT_GROWTH)^12</f>
        <v>206977.0608726074</v>
      </c>
      <c r="E15" s="8">
        <f>BIZ_REV_BASE*(1+BIZ_GROWTH)^12</f>
        <v>63412.089728127263</v>
      </c>
      <c r="F15" s="8">
        <f t="shared" si="0"/>
        <v>270389.15060073463</v>
      </c>
      <c r="G15" s="8">
        <f>SURFACE*MAINT_P_SQM*(1+MAINT_GROWTH)^12</f>
        <v>50729.671782501813</v>
      </c>
      <c r="H15" s="8">
        <f>STAFF_BASE*(1+STAFF_GROWTH)^12</f>
        <v>76094.507673752712</v>
      </c>
      <c r="I15" s="8">
        <f t="shared" si="1"/>
        <v>126824.17945625453</v>
      </c>
      <c r="J15" s="8">
        <f t="shared" si="2"/>
        <v>143564.97114448011</v>
      </c>
      <c r="K15" s="8">
        <f t="shared" si="5"/>
        <v>80000</v>
      </c>
      <c r="L15" s="8">
        <f t="shared" si="6"/>
        <v>63564.971144480107</v>
      </c>
      <c r="M15" s="8">
        <f>INDEX(Loan!D:D,15)</f>
        <v>36958.040027418137</v>
      </c>
      <c r="N15" s="8">
        <f>INDEX(Loan!E:E,15)</f>
        <v>47860.951589108685</v>
      </c>
      <c r="O15" s="8">
        <f t="shared" si="7"/>
        <v>84818.991616526822</v>
      </c>
      <c r="P15" s="8">
        <v>0</v>
      </c>
      <c r="Q15" s="8">
        <v>0</v>
      </c>
      <c r="R15" s="8">
        <f t="shared" si="3"/>
        <v>58745.979527953277</v>
      </c>
      <c r="S15" s="8">
        <f t="shared" si="8"/>
        <v>58745.979527953277</v>
      </c>
      <c r="T15" s="8">
        <f t="shared" si="9"/>
        <v>-579195.37941330858</v>
      </c>
      <c r="U15" s="5">
        <f t="shared" si="10"/>
        <v>1.6926040785010552</v>
      </c>
    </row>
    <row r="16" spans="1:21" x14ac:dyDescent="0.25">
      <c r="A16" s="4">
        <v>14</v>
      </c>
      <c r="B16">
        <f>START_YEAR+14</f>
        <v>2039</v>
      </c>
      <c r="C16" s="8">
        <f t="shared" si="4"/>
        <v>0</v>
      </c>
      <c r="D16" s="8">
        <f>SURFACE*RENT_P_SQM_PM_BASE*12*MIN(1,MAX(0,OCC_RATE_BASE+(14-1)*OCC_DELTA))*(1+RENT_GROWTH)^13</f>
        <v>211116.60209005952</v>
      </c>
      <c r="E16" s="8">
        <f>BIZ_REV_BASE*(1+BIZ_GROWTH)^13</f>
        <v>64680.331522689805</v>
      </c>
      <c r="F16" s="8">
        <f t="shared" si="0"/>
        <v>275796.93361274933</v>
      </c>
      <c r="G16" s="8">
        <f>SURFACE*MAINT_P_SQM*(1+MAINT_GROWTH)^13</f>
        <v>51744.265218151842</v>
      </c>
      <c r="H16" s="8">
        <f>STAFF_BASE*(1+STAFF_GROWTH)^13</f>
        <v>77616.39782722776</v>
      </c>
      <c r="I16" s="8">
        <f t="shared" si="1"/>
        <v>129360.6630453796</v>
      </c>
      <c r="J16" s="8">
        <f t="shared" si="2"/>
        <v>146436.27056736973</v>
      </c>
      <c r="K16" s="8">
        <f t="shared" si="5"/>
        <v>80000</v>
      </c>
      <c r="L16" s="8">
        <f t="shared" si="6"/>
        <v>66436.270567369735</v>
      </c>
      <c r="M16" s="8">
        <f>INDEX(Loan!D:D,16)</f>
        <v>34804.297205908253</v>
      </c>
      <c r="N16" s="8">
        <f>INDEX(Loan!E:E,16)</f>
        <v>50014.694410618569</v>
      </c>
      <c r="O16" s="8">
        <f t="shared" si="7"/>
        <v>84818.991616526822</v>
      </c>
      <c r="P16" s="8">
        <v>0</v>
      </c>
      <c r="Q16" s="8">
        <v>0</v>
      </c>
      <c r="R16" s="8">
        <f t="shared" si="3"/>
        <v>61617.278950842912</v>
      </c>
      <c r="S16" s="8">
        <f t="shared" si="8"/>
        <v>61617.278950842912</v>
      </c>
      <c r="T16" s="8">
        <f t="shared" si="9"/>
        <v>-517578.10046246566</v>
      </c>
      <c r="U16" s="5">
        <f t="shared" si="10"/>
        <v>1.7264561600710766</v>
      </c>
    </row>
    <row r="17" spans="1:21" x14ac:dyDescent="0.25">
      <c r="A17" s="4">
        <v>15</v>
      </c>
      <c r="B17">
        <f>START_YEAR+15</f>
        <v>2040</v>
      </c>
      <c r="C17" s="8">
        <f t="shared" si="4"/>
        <v>0</v>
      </c>
      <c r="D17" s="8">
        <f>SURFACE*RENT_P_SQM_PM_BASE*12*MIN(1,MAX(0,OCC_RATE_BASE+(15-1)*OCC_DELTA))*(1+RENT_GROWTH)^14</f>
        <v>215338.93413186073</v>
      </c>
      <c r="E17" s="8">
        <f>BIZ_REV_BASE*(1+BIZ_GROWTH)^14</f>
        <v>65973.938153143608</v>
      </c>
      <c r="F17" s="8">
        <f t="shared" si="0"/>
        <v>281312.87228500436</v>
      </c>
      <c r="G17" s="8">
        <f>SURFACE*MAINT_P_SQM*(1+MAINT_GROWTH)^14</f>
        <v>52779.150522514887</v>
      </c>
      <c r="H17" s="8">
        <f>STAFF_BASE*(1+STAFF_GROWTH)^14</f>
        <v>79168.72578377233</v>
      </c>
      <c r="I17" s="8">
        <f t="shared" si="1"/>
        <v>131947.87630628722</v>
      </c>
      <c r="J17" s="8">
        <f t="shared" si="2"/>
        <v>149364.99597871714</v>
      </c>
      <c r="K17" s="8">
        <f t="shared" si="5"/>
        <v>80000</v>
      </c>
      <c r="L17" s="8">
        <f t="shared" si="6"/>
        <v>69364.995978717139</v>
      </c>
      <c r="M17" s="8">
        <f>INDEX(Loan!D:D,17)</f>
        <v>32553.635957430419</v>
      </c>
      <c r="N17" s="8">
        <f>INDEX(Loan!E:E,17)</f>
        <v>52265.3556590964</v>
      </c>
      <c r="O17" s="8">
        <f t="shared" si="7"/>
        <v>84818.991616526822</v>
      </c>
      <c r="P17" s="8">
        <v>0</v>
      </c>
      <c r="Q17" s="8">
        <v>0</v>
      </c>
      <c r="R17" s="8">
        <f t="shared" si="3"/>
        <v>64546.004362190317</v>
      </c>
      <c r="S17" s="8">
        <f t="shared" si="8"/>
        <v>64546.004362190317</v>
      </c>
      <c r="T17" s="8">
        <f t="shared" si="9"/>
        <v>-453032.09610027535</v>
      </c>
      <c r="U17" s="5">
        <f t="shared" si="10"/>
        <v>1.7609852832724981</v>
      </c>
    </row>
    <row r="18" spans="1:21" x14ac:dyDescent="0.25">
      <c r="A18" s="4">
        <v>16</v>
      </c>
      <c r="B18">
        <f>START_YEAR+16</f>
        <v>2041</v>
      </c>
      <c r="C18" s="8">
        <f t="shared" si="4"/>
        <v>0</v>
      </c>
      <c r="D18" s="8">
        <f>SURFACE*RENT_P_SQM_PM_BASE*12*MIN(1,MAX(0,OCC_RATE_BASE+(16-1)*OCC_DELTA))*(1+RENT_GROWTH)^15</f>
        <v>219645.71281449788</v>
      </c>
      <c r="E18" s="8">
        <f>BIZ_REV_BASE*(1+BIZ_GROWTH)^15</f>
        <v>67293.416916206465</v>
      </c>
      <c r="F18" s="8">
        <f t="shared" si="0"/>
        <v>286939.12973070436</v>
      </c>
      <c r="G18" s="8">
        <f>SURFACE*MAINT_P_SQM*(1+MAINT_GROWTH)^15</f>
        <v>53834.733532965169</v>
      </c>
      <c r="H18" s="8">
        <f>STAFF_BASE*(1+STAFF_GROWTH)^15</f>
        <v>80752.10029944776</v>
      </c>
      <c r="I18" s="8">
        <f t="shared" si="1"/>
        <v>134586.83383241293</v>
      </c>
      <c r="J18" s="8">
        <f t="shared" si="2"/>
        <v>152352.29589829143</v>
      </c>
      <c r="K18" s="8">
        <f t="shared" si="5"/>
        <v>80000</v>
      </c>
      <c r="L18" s="8">
        <f t="shared" si="6"/>
        <v>72352.295898291428</v>
      </c>
      <c r="M18" s="8">
        <f>INDEX(Loan!D:D,18)</f>
        <v>30201.694952771079</v>
      </c>
      <c r="N18" s="8">
        <f>INDEX(Loan!E:E,18)</f>
        <v>54617.29666375574</v>
      </c>
      <c r="O18" s="8">
        <f t="shared" si="7"/>
        <v>84818.991616526822</v>
      </c>
      <c r="P18" s="8">
        <v>0</v>
      </c>
      <c r="Q18" s="8">
        <v>0</v>
      </c>
      <c r="R18" s="8">
        <f t="shared" si="3"/>
        <v>67533.304281764606</v>
      </c>
      <c r="S18" s="8">
        <f t="shared" si="8"/>
        <v>67533.304281764606</v>
      </c>
      <c r="T18" s="8">
        <f t="shared" si="9"/>
        <v>-385498.79181851074</v>
      </c>
      <c r="U18" s="5">
        <f t="shared" si="10"/>
        <v>1.7962049889379477</v>
      </c>
    </row>
    <row r="19" spans="1:21" x14ac:dyDescent="0.25">
      <c r="A19" s="4">
        <v>17</v>
      </c>
      <c r="B19">
        <f>START_YEAR+17</f>
        <v>2042</v>
      </c>
      <c r="C19" s="8">
        <f t="shared" si="4"/>
        <v>0</v>
      </c>
      <c r="D19" s="8">
        <f>SURFACE*RENT_P_SQM_PM_BASE*12*MIN(1,MAX(0,OCC_RATE_BASE+(17-1)*OCC_DELTA))*(1+RENT_GROWTH)^16</f>
        <v>224038.62707078789</v>
      </c>
      <c r="E19" s="8">
        <f>BIZ_REV_BASE*(1+BIZ_GROWTH)^16</f>
        <v>68639.285254530609</v>
      </c>
      <c r="F19" s="8">
        <f t="shared" si="0"/>
        <v>292677.9123253185</v>
      </c>
      <c r="G19" s="8">
        <f>SURFACE*MAINT_P_SQM*(1+MAINT_GROWTH)^16</f>
        <v>54911.428203624484</v>
      </c>
      <c r="H19" s="8">
        <f>STAFF_BASE*(1+STAFF_GROWTH)^16</f>
        <v>82367.142305436719</v>
      </c>
      <c r="I19" s="8">
        <f t="shared" si="1"/>
        <v>137278.57050906122</v>
      </c>
      <c r="J19" s="8">
        <f t="shared" si="2"/>
        <v>155399.34181625728</v>
      </c>
      <c r="K19" s="8">
        <f t="shared" si="5"/>
        <v>80000</v>
      </c>
      <c r="L19" s="8">
        <f t="shared" si="6"/>
        <v>75399.341816257278</v>
      </c>
      <c r="M19" s="8">
        <f>INDEX(Loan!D:D,19)</f>
        <v>27743.916602902071</v>
      </c>
      <c r="N19" s="8">
        <f>INDEX(Loan!E:E,19)</f>
        <v>57075.075013624752</v>
      </c>
      <c r="O19" s="8">
        <f t="shared" si="7"/>
        <v>84818.991616526822</v>
      </c>
      <c r="P19" s="8">
        <v>0</v>
      </c>
      <c r="Q19" s="8">
        <v>0</v>
      </c>
      <c r="R19" s="8">
        <f t="shared" si="3"/>
        <v>70580.350199730456</v>
      </c>
      <c r="S19" s="8">
        <f t="shared" si="8"/>
        <v>70580.350199730456</v>
      </c>
      <c r="T19" s="8">
        <f t="shared" si="9"/>
        <v>-314918.44161878026</v>
      </c>
      <c r="U19" s="5">
        <f t="shared" si="10"/>
        <v>1.8321290887167068</v>
      </c>
    </row>
    <row r="20" spans="1:21" x14ac:dyDescent="0.25">
      <c r="A20" s="4">
        <v>18</v>
      </c>
      <c r="B20">
        <f>START_YEAR+18</f>
        <v>2043</v>
      </c>
      <c r="C20" s="8">
        <f t="shared" si="4"/>
        <v>0</v>
      </c>
      <c r="D20" s="8">
        <f>SURFACE*RENT_P_SQM_PM_BASE*12*MIN(1,MAX(0,OCC_RATE_BASE+(18-1)*OCC_DELTA))*(1+RENT_GROWTH)^17</f>
        <v>228519.39961220365</v>
      </c>
      <c r="E20" s="8">
        <f>BIZ_REV_BASE*(1+BIZ_GROWTH)^17</f>
        <v>70012.070959621225</v>
      </c>
      <c r="F20" s="8">
        <f t="shared" si="0"/>
        <v>298531.47057182487</v>
      </c>
      <c r="G20" s="8">
        <f>SURFACE*MAINT_P_SQM*(1+MAINT_GROWTH)^17</f>
        <v>56009.656767696979</v>
      </c>
      <c r="H20" s="8">
        <f>STAFF_BASE*(1+STAFF_GROWTH)^17</f>
        <v>84014.485151545465</v>
      </c>
      <c r="I20" s="8">
        <f t="shared" si="1"/>
        <v>140024.14191924245</v>
      </c>
      <c r="J20" s="8">
        <f t="shared" si="2"/>
        <v>158507.32865258242</v>
      </c>
      <c r="K20" s="8">
        <f t="shared" si="5"/>
        <v>80000</v>
      </c>
      <c r="L20" s="8">
        <f t="shared" si="6"/>
        <v>78507.328652582422</v>
      </c>
      <c r="M20" s="8">
        <f>INDEX(Loan!D:D,20)</f>
        <v>25175.538227288958</v>
      </c>
      <c r="N20" s="8">
        <f>INDEX(Loan!E:E,20)</f>
        <v>59643.453389237868</v>
      </c>
      <c r="O20" s="8">
        <f t="shared" si="7"/>
        <v>84818.991616526822</v>
      </c>
      <c r="P20" s="8">
        <v>0</v>
      </c>
      <c r="Q20" s="8">
        <v>0</v>
      </c>
      <c r="R20" s="8">
        <f t="shared" si="3"/>
        <v>73688.3370360556</v>
      </c>
      <c r="S20" s="8">
        <f t="shared" si="8"/>
        <v>73688.3370360556</v>
      </c>
      <c r="T20" s="8">
        <f t="shared" si="9"/>
        <v>-241230.10458272466</v>
      </c>
      <c r="U20" s="5">
        <f t="shared" si="10"/>
        <v>1.8687716704910409</v>
      </c>
    </row>
    <row r="21" spans="1:21" x14ac:dyDescent="0.25">
      <c r="A21" s="4">
        <v>19</v>
      </c>
      <c r="B21">
        <f>START_YEAR+19</f>
        <v>2044</v>
      </c>
      <c r="C21" s="8">
        <f t="shared" si="4"/>
        <v>0</v>
      </c>
      <c r="D21" s="8">
        <f>SURFACE*RENT_P_SQM_PM_BASE*12*MIN(1,MAX(0,OCC_RATE_BASE+(19-1)*OCC_DELTA))*(1+RENT_GROWTH)^18</f>
        <v>233089.78760444772</v>
      </c>
      <c r="E21" s="8">
        <f>BIZ_REV_BASE*(1+BIZ_GROWTH)^18</f>
        <v>71412.312378813629</v>
      </c>
      <c r="F21" s="8">
        <f t="shared" si="0"/>
        <v>304502.09998326132</v>
      </c>
      <c r="G21" s="8">
        <f>SURFACE*MAINT_P_SQM*(1+MAINT_GROWTH)^18</f>
        <v>57129.849903050912</v>
      </c>
      <c r="H21" s="8">
        <f>STAFF_BASE*(1+STAFF_GROWTH)^18</f>
        <v>85694.774854576361</v>
      </c>
      <c r="I21" s="8">
        <f t="shared" si="1"/>
        <v>142824.62475762726</v>
      </c>
      <c r="J21" s="8">
        <f t="shared" si="2"/>
        <v>161677.47522563406</v>
      </c>
      <c r="K21" s="8">
        <f t="shared" si="5"/>
        <v>80000</v>
      </c>
      <c r="L21" s="8">
        <f t="shared" si="6"/>
        <v>81677.475225634058</v>
      </c>
      <c r="M21" s="8">
        <f>INDEX(Loan!D:D,21)</f>
        <v>22491.582824773253</v>
      </c>
      <c r="N21" s="8">
        <f>INDEX(Loan!E:E,21)</f>
        <v>62327.408791753565</v>
      </c>
      <c r="O21" s="8">
        <f t="shared" si="7"/>
        <v>84818.991616526822</v>
      </c>
      <c r="P21" s="8">
        <v>0</v>
      </c>
      <c r="Q21" s="8">
        <v>0</v>
      </c>
      <c r="R21" s="8">
        <f t="shared" si="3"/>
        <v>76858.48360910725</v>
      </c>
      <c r="S21" s="8">
        <f t="shared" si="8"/>
        <v>76858.48360910725</v>
      </c>
      <c r="T21" s="8">
        <f t="shared" si="9"/>
        <v>-164371.62097361742</v>
      </c>
      <c r="U21" s="5">
        <f t="shared" si="10"/>
        <v>1.9061471039008615</v>
      </c>
    </row>
    <row r="22" spans="1:21" x14ac:dyDescent="0.25">
      <c r="A22" s="4">
        <v>20</v>
      </c>
      <c r="B22">
        <f>START_YEAR+20</f>
        <v>2045</v>
      </c>
      <c r="C22" s="8">
        <f t="shared" si="4"/>
        <v>0</v>
      </c>
      <c r="D22" s="8">
        <f>SURFACE*RENT_P_SQM_PM_BASE*12*MIN(1,MAX(0,OCC_RATE_BASE+(20-1)*OCC_DELTA))*(1+RENT_GROWTH)^19</f>
        <v>237751.58335653666</v>
      </c>
      <c r="E22" s="8">
        <f>BIZ_REV_BASE*(1+BIZ_GROWTH)^19</f>
        <v>72840.558626389902</v>
      </c>
      <c r="F22" s="8">
        <f t="shared" si="0"/>
        <v>310592.14198292658</v>
      </c>
      <c r="G22" s="8">
        <f>SURFACE*MAINT_P_SQM*(1+MAINT_GROWTH)^19</f>
        <v>58272.446901111922</v>
      </c>
      <c r="H22" s="8">
        <f>STAFF_BASE*(1+STAFF_GROWTH)^19</f>
        <v>87408.670351667883</v>
      </c>
      <c r="I22" s="8">
        <f t="shared" si="1"/>
        <v>145681.1172527798</v>
      </c>
      <c r="J22" s="8">
        <f t="shared" si="2"/>
        <v>164911.02473014678</v>
      </c>
      <c r="K22" s="8">
        <f t="shared" si="5"/>
        <v>80000</v>
      </c>
      <c r="L22" s="8">
        <f t="shared" si="6"/>
        <v>84911.024730146775</v>
      </c>
      <c r="M22" s="8">
        <f>INDEX(Loan!D:D,22)</f>
        <v>19686.849429144342</v>
      </c>
      <c r="N22" s="8">
        <f>INDEX(Loan!E:E,22)</f>
        <v>65132.14218738248</v>
      </c>
      <c r="O22" s="8">
        <f t="shared" si="7"/>
        <v>84818.991616526822</v>
      </c>
      <c r="P22" s="8">
        <v>0</v>
      </c>
      <c r="Q22" s="8">
        <v>0</v>
      </c>
      <c r="R22" s="8">
        <f t="shared" si="3"/>
        <v>80092.033113619953</v>
      </c>
      <c r="S22" s="8">
        <f t="shared" si="8"/>
        <v>80092.033113619953</v>
      </c>
      <c r="T22" s="8">
        <f t="shared" si="9"/>
        <v>-84279.587859997468</v>
      </c>
      <c r="U22" s="5">
        <f t="shared" si="10"/>
        <v>1.9442700459788793</v>
      </c>
    </row>
    <row r="23" spans="1:21" x14ac:dyDescent="0.25">
      <c r="A23" s="4">
        <v>21</v>
      </c>
      <c r="B23">
        <f>START_YEAR+21</f>
        <v>2046</v>
      </c>
      <c r="C23" s="8">
        <f t="shared" si="4"/>
        <v>0</v>
      </c>
      <c r="D23" s="8">
        <f>SURFACE*RENT_P_SQM_PM_BASE*12*MIN(1,MAX(0,OCC_RATE_BASE+(21-1)*OCC_DELTA))*(1+RENT_GROWTH)^20</f>
        <v>242506.6150236674</v>
      </c>
      <c r="E23" s="8">
        <f>BIZ_REV_BASE*(1+BIZ_GROWTH)^20</f>
        <v>74297.369798917716</v>
      </c>
      <c r="F23" s="8">
        <f t="shared" si="0"/>
        <v>316803.98482258513</v>
      </c>
      <c r="G23" s="8">
        <f>SURFACE*MAINT_P_SQM*(1+MAINT_GROWTH)^20</f>
        <v>59437.895839134173</v>
      </c>
      <c r="H23" s="8">
        <f>STAFF_BASE*(1+STAFF_GROWTH)^20</f>
        <v>89156.84375870126</v>
      </c>
      <c r="I23" s="8">
        <f t="shared" si="1"/>
        <v>148594.73959783543</v>
      </c>
      <c r="J23" s="8">
        <f t="shared" si="2"/>
        <v>168209.2452247497</v>
      </c>
      <c r="K23" s="8">
        <f t="shared" si="5"/>
        <v>80000</v>
      </c>
      <c r="L23" s="8">
        <f t="shared" si="6"/>
        <v>88209.245224749699</v>
      </c>
      <c r="M23" s="8">
        <f>INDEX(Loan!D:D,23)</f>
        <v>16755.903030712128</v>
      </c>
      <c r="N23" s="8">
        <f>INDEX(Loan!E:E,23)</f>
        <v>68063.088585814694</v>
      </c>
      <c r="O23" s="8">
        <f t="shared" si="7"/>
        <v>84818.991616526822</v>
      </c>
      <c r="P23" s="8">
        <v>0</v>
      </c>
      <c r="Q23" s="8">
        <v>0</v>
      </c>
      <c r="R23" s="8">
        <f t="shared" si="3"/>
        <v>83390.253608222876</v>
      </c>
      <c r="S23" s="8">
        <f t="shared" si="8"/>
        <v>83390.253608222876</v>
      </c>
      <c r="T23" s="8">
        <f t="shared" si="9"/>
        <v>-889.33425177459139</v>
      </c>
      <c r="U23" s="5">
        <f t="shared" si="10"/>
        <v>1.9831554468984567</v>
      </c>
    </row>
    <row r="24" spans="1:21" x14ac:dyDescent="0.25">
      <c r="A24" s="4">
        <v>22</v>
      </c>
      <c r="B24">
        <f>START_YEAR+22</f>
        <v>2047</v>
      </c>
      <c r="C24" s="8">
        <f t="shared" si="4"/>
        <v>0</v>
      </c>
      <c r="D24" s="8">
        <f>SURFACE*RENT_P_SQM_PM_BASE*12*MIN(1,MAX(0,OCC_RATE_BASE+(22-1)*OCC_DELTA))*(1+RENT_GROWTH)^21</f>
        <v>247356.74732414074</v>
      </c>
      <c r="E24" s="8">
        <f>BIZ_REV_BASE*(1+BIZ_GROWTH)^21</f>
        <v>75783.317194896066</v>
      </c>
      <c r="F24" s="8">
        <f t="shared" si="0"/>
        <v>323140.06451903679</v>
      </c>
      <c r="G24" s="8">
        <f>SURFACE*MAINT_P_SQM*(1+MAINT_GROWTH)^21</f>
        <v>60626.65375591685</v>
      </c>
      <c r="H24" s="8">
        <f>STAFF_BASE*(1+STAFF_GROWTH)^21</f>
        <v>90939.980633875268</v>
      </c>
      <c r="I24" s="8">
        <f t="shared" si="1"/>
        <v>151566.6343897921</v>
      </c>
      <c r="J24" s="8">
        <f t="shared" si="2"/>
        <v>171573.43012924469</v>
      </c>
      <c r="K24" s="8">
        <f t="shared" si="5"/>
        <v>80000</v>
      </c>
      <c r="L24" s="8">
        <f t="shared" si="6"/>
        <v>91573.430129244691</v>
      </c>
      <c r="M24" s="8">
        <f>INDEX(Loan!D:D,24)</f>
        <v>13693.064044350469</v>
      </c>
      <c r="N24" s="8">
        <f>INDEX(Loan!E:E,24)</f>
        <v>71125.927572176355</v>
      </c>
      <c r="O24" s="8">
        <f t="shared" si="7"/>
        <v>84818.991616526822</v>
      </c>
      <c r="P24" s="8">
        <v>0</v>
      </c>
      <c r="Q24" s="8">
        <v>0</v>
      </c>
      <c r="R24" s="8">
        <f t="shared" si="3"/>
        <v>86754.438512717868</v>
      </c>
      <c r="S24" s="8">
        <f t="shared" si="8"/>
        <v>86754.438512717868</v>
      </c>
      <c r="T24" s="8">
        <f t="shared" si="9"/>
        <v>85865.104260943277</v>
      </c>
      <c r="U24" s="5">
        <f t="shared" si="10"/>
        <v>2.0228185558364258</v>
      </c>
    </row>
    <row r="25" spans="1:21" x14ac:dyDescent="0.25">
      <c r="A25" s="4">
        <v>23</v>
      </c>
      <c r="B25">
        <f>START_YEAR+23</f>
        <v>2048</v>
      </c>
      <c r="C25" s="8">
        <f t="shared" si="4"/>
        <v>0</v>
      </c>
      <c r="D25" s="8">
        <f>SURFACE*RENT_P_SQM_PM_BASE*12*MIN(1,MAX(0,OCC_RATE_BASE+(23-1)*OCC_DELTA))*(1+RENT_GROWTH)^22</f>
        <v>252303.88227062358</v>
      </c>
      <c r="E25" s="8">
        <f>BIZ_REV_BASE*(1+BIZ_GROWTH)^22</f>
        <v>77298.983538793982</v>
      </c>
      <c r="F25" s="8">
        <f t="shared" si="0"/>
        <v>329602.86580941756</v>
      </c>
      <c r="G25" s="8">
        <f>SURFACE*MAINT_P_SQM*(1+MAINT_GROWTH)^22</f>
        <v>61839.186831035186</v>
      </c>
      <c r="H25" s="8">
        <f>STAFF_BASE*(1+STAFF_GROWTH)^22</f>
        <v>92758.780246552778</v>
      </c>
      <c r="I25" s="8">
        <f t="shared" si="1"/>
        <v>154597.96707758796</v>
      </c>
      <c r="J25" s="8">
        <f t="shared" si="2"/>
        <v>175004.8987318296</v>
      </c>
      <c r="K25" s="8">
        <f t="shared" si="5"/>
        <v>80000</v>
      </c>
      <c r="L25" s="8">
        <f t="shared" si="6"/>
        <v>95004.898731829599</v>
      </c>
      <c r="M25" s="8">
        <f>INDEX(Loan!D:D,25)</f>
        <v>10492.397303602533</v>
      </c>
      <c r="N25" s="8">
        <f>INDEX(Loan!E:E,25)</f>
        <v>74326.594312924295</v>
      </c>
      <c r="O25" s="8">
        <f t="shared" si="7"/>
        <v>84818.991616526822</v>
      </c>
      <c r="P25" s="8">
        <v>0</v>
      </c>
      <c r="Q25" s="8">
        <v>0</v>
      </c>
      <c r="R25" s="8">
        <f t="shared" si="3"/>
        <v>90185.907115302762</v>
      </c>
      <c r="S25" s="8">
        <f t="shared" si="8"/>
        <v>90185.907115302762</v>
      </c>
      <c r="T25" s="8">
        <f t="shared" si="9"/>
        <v>176051.01137624605</v>
      </c>
      <c r="U25" s="5">
        <f t="shared" si="10"/>
        <v>2.0632749269531545</v>
      </c>
    </row>
    <row r="26" spans="1:21" x14ac:dyDescent="0.25">
      <c r="A26" s="4">
        <v>24</v>
      </c>
      <c r="B26">
        <f>START_YEAR+24</f>
        <v>2049</v>
      </c>
      <c r="C26" s="8">
        <f t="shared" si="4"/>
        <v>0</v>
      </c>
      <c r="D26" s="8">
        <f>SURFACE*RENT_P_SQM_PM_BASE*12*MIN(1,MAX(0,OCC_RATE_BASE+(24-1)*OCC_DELTA))*(1+RENT_GROWTH)^23</f>
        <v>257349.95991603599</v>
      </c>
      <c r="E26" s="8">
        <f>BIZ_REV_BASE*(1+BIZ_GROWTH)^23</f>
        <v>78844.963209569847</v>
      </c>
      <c r="F26" s="8">
        <f t="shared" si="0"/>
        <v>336194.92312560586</v>
      </c>
      <c r="G26" s="8">
        <f>SURFACE*MAINT_P_SQM*(1+MAINT_GROWTH)^23</f>
        <v>63075.970567655881</v>
      </c>
      <c r="H26" s="8">
        <f>STAFF_BASE*(1+STAFF_GROWTH)^23</f>
        <v>94613.955851483828</v>
      </c>
      <c r="I26" s="8">
        <f t="shared" si="1"/>
        <v>157689.92641913972</v>
      </c>
      <c r="J26" s="8">
        <f t="shared" si="2"/>
        <v>178504.99670646613</v>
      </c>
      <c r="K26" s="8">
        <f t="shared" si="5"/>
        <v>80000</v>
      </c>
      <c r="L26" s="8">
        <f t="shared" si="6"/>
        <v>98504.996706466132</v>
      </c>
      <c r="M26" s="8">
        <f>INDEX(Loan!D:D,26)</f>
        <v>7147.7005595209394</v>
      </c>
      <c r="N26" s="8">
        <f>INDEX(Loan!E:E,26)</f>
        <v>77671.291057005888</v>
      </c>
      <c r="O26" s="8">
        <f t="shared" si="7"/>
        <v>84818.991616526822</v>
      </c>
      <c r="P26" s="8">
        <v>0</v>
      </c>
      <c r="Q26" s="8">
        <v>0</v>
      </c>
      <c r="R26" s="8">
        <f t="shared" si="3"/>
        <v>93686.005089939295</v>
      </c>
      <c r="S26" s="8">
        <f t="shared" si="8"/>
        <v>93686.005089939295</v>
      </c>
      <c r="T26" s="8">
        <f t="shared" si="9"/>
        <v>269737.01646618533</v>
      </c>
      <c r="U26" s="5">
        <f t="shared" si="10"/>
        <v>2.1045404254922166</v>
      </c>
    </row>
    <row r="27" spans="1:21" x14ac:dyDescent="0.25">
      <c r="A27" s="4">
        <v>25</v>
      </c>
      <c r="B27">
        <f>START_YEAR+25</f>
        <v>2050</v>
      </c>
      <c r="C27" s="8">
        <f t="shared" si="4"/>
        <v>0</v>
      </c>
      <c r="D27" s="8">
        <f>SURFACE*RENT_P_SQM_PM_BASE*12*MIN(1,MAX(0,OCC_RATE_BASE+(25-1)*OCC_DELTA))*(1+RENT_GROWTH)^24</f>
        <v>262496.95911435672</v>
      </c>
      <c r="E27" s="8">
        <f>BIZ_REV_BASE*(1+BIZ_GROWTH)^24</f>
        <v>80421.862473761255</v>
      </c>
      <c r="F27" s="8">
        <f t="shared" si="0"/>
        <v>342918.82158811798</v>
      </c>
      <c r="G27" s="8">
        <f>SURFACE*MAINT_P_SQM*(1+MAINT_GROWTH)^24</f>
        <v>64337.489979008998</v>
      </c>
      <c r="H27" s="8">
        <f>STAFF_BASE*(1+STAFF_GROWTH)^24</f>
        <v>96506.234968513498</v>
      </c>
      <c r="I27" s="8">
        <f t="shared" si="1"/>
        <v>160843.72494752251</v>
      </c>
      <c r="J27" s="8">
        <f t="shared" si="2"/>
        <v>182075.09664059547</v>
      </c>
      <c r="K27" s="8">
        <f t="shared" si="5"/>
        <v>80000</v>
      </c>
      <c r="L27" s="8">
        <f t="shared" si="6"/>
        <v>102075.09664059547</v>
      </c>
      <c r="M27" s="8">
        <f>INDEX(Loan!D:D,27)</f>
        <v>3652.492461955675</v>
      </c>
      <c r="N27" s="8">
        <f>INDEX(Loan!E:E,27)</f>
        <v>81166.499154571153</v>
      </c>
      <c r="O27" s="8">
        <f t="shared" si="7"/>
        <v>84818.991616526822</v>
      </c>
      <c r="P27" s="8">
        <v>0</v>
      </c>
      <c r="Q27" s="8">
        <v>0</v>
      </c>
      <c r="R27" s="8">
        <f t="shared" si="3"/>
        <v>97256.105024068645</v>
      </c>
      <c r="S27" s="8">
        <f t="shared" si="8"/>
        <v>97256.105024068645</v>
      </c>
      <c r="T27" s="8">
        <f t="shared" si="9"/>
        <v>366993.12149025395</v>
      </c>
      <c r="U27" s="5">
        <f t="shared" si="10"/>
        <v>2.1466312340020615</v>
      </c>
    </row>
    <row r="28" spans="1:21" x14ac:dyDescent="0.25">
      <c r="A28" s="4">
        <v>26</v>
      </c>
      <c r="B28">
        <f>START_YEAR+26</f>
        <v>2051</v>
      </c>
      <c r="C28" s="8">
        <f t="shared" si="4"/>
        <v>0</v>
      </c>
      <c r="D28" s="8">
        <f>SURFACE*RENT_P_SQM_PM_BASE*12*MIN(1,MAX(0,OCC_RATE_BASE+(26-1)*OCC_DELTA))*(1+RENT_GROWTH)^25</f>
        <v>267746.89829664386</v>
      </c>
      <c r="E28" s="8">
        <f>BIZ_REV_BASE*(1+BIZ_GROWTH)^25</f>
        <v>82030.299723236472</v>
      </c>
      <c r="F28" s="8">
        <f t="shared" si="0"/>
        <v>349777.19801988034</v>
      </c>
      <c r="G28" s="8">
        <f>SURFACE*MAINT_P_SQM*(1+MAINT_GROWTH)^25</f>
        <v>65624.239778589181</v>
      </c>
      <c r="H28" s="8">
        <f>STAFF_BASE*(1+STAFF_GROWTH)^25</f>
        <v>98436.359667883778</v>
      </c>
      <c r="I28" s="8">
        <f t="shared" si="1"/>
        <v>164060.59944647294</v>
      </c>
      <c r="J28" s="8">
        <f t="shared" si="2"/>
        <v>185716.59857340739</v>
      </c>
      <c r="K28" s="8">
        <f t="shared" si="5"/>
        <v>80000</v>
      </c>
      <c r="L28" s="8">
        <f t="shared" si="6"/>
        <v>105716.59857340739</v>
      </c>
      <c r="M28" s="8">
        <f>INDEX(Loan!D:D,28)</f>
        <v>0</v>
      </c>
      <c r="N28" s="8">
        <f>INDEX(Loan!E:E,28)</f>
        <v>84818.991616526822</v>
      </c>
      <c r="O28" s="8">
        <f t="shared" si="7"/>
        <v>84818.991616526822</v>
      </c>
      <c r="P28" s="8">
        <v>0</v>
      </c>
      <c r="Q28" s="8">
        <v>0</v>
      </c>
      <c r="R28" s="8">
        <f t="shared" si="3"/>
        <v>100897.60695688057</v>
      </c>
      <c r="S28" s="8">
        <f t="shared" si="8"/>
        <v>100897.60695688057</v>
      </c>
      <c r="T28" s="8">
        <f t="shared" si="9"/>
        <v>467890.72844713449</v>
      </c>
      <c r="U28" s="5">
        <f t="shared" si="10"/>
        <v>2.1895638586821029</v>
      </c>
    </row>
    <row r="29" spans="1:21" x14ac:dyDescent="0.25">
      <c r="A29" s="4">
        <v>27</v>
      </c>
      <c r="B29">
        <f>START_YEAR+27</f>
        <v>2052</v>
      </c>
      <c r="C29" s="8">
        <f t="shared" si="4"/>
        <v>0</v>
      </c>
      <c r="D29" s="8">
        <f>SURFACE*RENT_P_SQM_PM_BASE*12*MIN(1,MAX(0,OCC_RATE_BASE+(27-1)*OCC_DELTA))*(1+RENT_GROWTH)^26</f>
        <v>273101.83626257675</v>
      </c>
      <c r="E29" s="8">
        <f>BIZ_REV_BASE*(1+BIZ_GROWTH)^26</f>
        <v>83670.905717701215</v>
      </c>
      <c r="F29" s="8">
        <f t="shared" si="0"/>
        <v>356772.74198027793</v>
      </c>
      <c r="G29" s="8">
        <f>SURFACE*MAINT_P_SQM*(1+MAINT_GROWTH)^26</f>
        <v>66936.724574160966</v>
      </c>
      <c r="H29" s="8">
        <f>STAFF_BASE*(1+STAFF_GROWTH)^26</f>
        <v>100405.08686124146</v>
      </c>
      <c r="I29" s="8">
        <f t="shared" si="1"/>
        <v>167341.81143540243</v>
      </c>
      <c r="J29" s="8">
        <f t="shared" si="2"/>
        <v>189430.9305448755</v>
      </c>
      <c r="K29" s="8">
        <f t="shared" si="5"/>
        <v>80000</v>
      </c>
      <c r="L29" s="8">
        <f t="shared" si="6"/>
        <v>109430.9305448755</v>
      </c>
      <c r="M29" s="8">
        <f>INDEX(Loan!D:D,29)</f>
        <v>0</v>
      </c>
      <c r="N29" s="8">
        <f>INDEX(Loan!E:E,29)</f>
        <v>84818.991616526822</v>
      </c>
      <c r="O29" s="8">
        <f t="shared" si="7"/>
        <v>84818.991616526822</v>
      </c>
      <c r="P29" s="8">
        <v>0</v>
      </c>
      <c r="Q29" s="8">
        <v>0</v>
      </c>
      <c r="R29" s="8">
        <f t="shared" si="3"/>
        <v>104611.93892834868</v>
      </c>
      <c r="S29" s="8">
        <f t="shared" si="8"/>
        <v>104611.93892834868</v>
      </c>
      <c r="T29" s="8">
        <f t="shared" si="9"/>
        <v>572502.6673754832</v>
      </c>
      <c r="U29" s="5">
        <f t="shared" si="10"/>
        <v>2.2333551358557444</v>
      </c>
    </row>
    <row r="30" spans="1:21" x14ac:dyDescent="0.25">
      <c r="A30" s="4">
        <v>28</v>
      </c>
      <c r="B30">
        <f>START_YEAR+28</f>
        <v>2053</v>
      </c>
      <c r="C30" s="8">
        <f t="shared" si="4"/>
        <v>0</v>
      </c>
      <c r="D30" s="8">
        <f>SURFACE*RENT_P_SQM_PM_BASE*12*MIN(1,MAX(0,OCC_RATE_BASE+(28-1)*OCC_DELTA))*(1+RENT_GROWTH)^27</f>
        <v>278563.87298782828</v>
      </c>
      <c r="E30" s="8">
        <f>BIZ_REV_BASE*(1+BIZ_GROWTH)^27</f>
        <v>85344.323832055219</v>
      </c>
      <c r="F30" s="8">
        <f t="shared" si="0"/>
        <v>363908.19681988348</v>
      </c>
      <c r="G30" s="8">
        <f>SURFACE*MAINT_P_SQM*(1+MAINT_GROWTH)^27</f>
        <v>68275.459065644172</v>
      </c>
      <c r="H30" s="8">
        <f>STAFF_BASE*(1+STAFF_GROWTH)^27</f>
        <v>102413.18859846627</v>
      </c>
      <c r="I30" s="8">
        <f t="shared" si="1"/>
        <v>170688.64766411044</v>
      </c>
      <c r="J30" s="8">
        <f t="shared" si="2"/>
        <v>193219.54915577304</v>
      </c>
      <c r="K30" s="8">
        <f t="shared" si="5"/>
        <v>80000</v>
      </c>
      <c r="L30" s="8">
        <f t="shared" si="6"/>
        <v>113219.54915577304</v>
      </c>
      <c r="M30" s="8">
        <f>INDEX(Loan!D:D,30)</f>
        <v>0</v>
      </c>
      <c r="N30" s="8">
        <f>INDEX(Loan!E:E,30)</f>
        <v>84818.991616526822</v>
      </c>
      <c r="O30" s="8">
        <f t="shared" si="7"/>
        <v>84818.991616526822</v>
      </c>
      <c r="P30" s="8">
        <v>0</v>
      </c>
      <c r="Q30" s="8">
        <v>0</v>
      </c>
      <c r="R30" s="8">
        <f t="shared" si="3"/>
        <v>108400.55753924622</v>
      </c>
      <c r="S30" s="8">
        <f t="shared" si="8"/>
        <v>108400.55753924622</v>
      </c>
      <c r="T30" s="8">
        <f t="shared" si="9"/>
        <v>680903.22491472936</v>
      </c>
      <c r="U30" s="5">
        <f t="shared" si="10"/>
        <v>2.2780222385728597</v>
      </c>
    </row>
    <row r="31" spans="1:21" x14ac:dyDescent="0.25">
      <c r="A31" s="4">
        <v>29</v>
      </c>
      <c r="B31">
        <f>START_YEAR+29</f>
        <v>2054</v>
      </c>
      <c r="C31" s="8">
        <f t="shared" si="4"/>
        <v>0</v>
      </c>
      <c r="D31" s="8">
        <f>SURFACE*RENT_P_SQM_PM_BASE*12*MIN(1,MAX(0,OCC_RATE_BASE+(29-1)*OCC_DELTA))*(1+RENT_GROWTH)^28</f>
        <v>284135.15044758486</v>
      </c>
      <c r="E31" s="8">
        <f>BIZ_REV_BASE*(1+BIZ_GROWTH)^28</f>
        <v>87051.210308696347</v>
      </c>
      <c r="F31" s="8">
        <f t="shared" si="0"/>
        <v>371186.36075628118</v>
      </c>
      <c r="G31" s="8">
        <f>SURFACE*MAINT_P_SQM*(1+MAINT_GROWTH)^28</f>
        <v>69640.968246957083</v>
      </c>
      <c r="H31" s="8">
        <f>STAFF_BASE*(1+STAFF_GROWTH)^28</f>
        <v>104461.45237043561</v>
      </c>
      <c r="I31" s="8">
        <f t="shared" si="1"/>
        <v>174102.42061739269</v>
      </c>
      <c r="J31" s="8">
        <f t="shared" si="2"/>
        <v>197083.94013888849</v>
      </c>
      <c r="K31" s="8">
        <f t="shared" si="5"/>
        <v>80000</v>
      </c>
      <c r="L31" s="8">
        <f t="shared" si="6"/>
        <v>117083.94013888849</v>
      </c>
      <c r="M31" s="8">
        <f>INDEX(Loan!D:D,31)</f>
        <v>0</v>
      </c>
      <c r="N31" s="8">
        <f>INDEX(Loan!E:E,31)</f>
        <v>84818.991616526822</v>
      </c>
      <c r="O31" s="8">
        <f t="shared" si="7"/>
        <v>84818.991616526822</v>
      </c>
      <c r="P31" s="8">
        <v>0</v>
      </c>
      <c r="Q31" s="8">
        <v>0</v>
      </c>
      <c r="R31" s="8">
        <f t="shared" si="3"/>
        <v>112264.94852236166</v>
      </c>
      <c r="S31" s="8">
        <f t="shared" si="8"/>
        <v>112264.94852236166</v>
      </c>
      <c r="T31" s="8">
        <f t="shared" si="9"/>
        <v>793168.17343709106</v>
      </c>
      <c r="U31" s="5">
        <f t="shared" si="10"/>
        <v>2.3235826833443167</v>
      </c>
    </row>
    <row r="32" spans="1:21" x14ac:dyDescent="0.25">
      <c r="A32" s="4">
        <v>30</v>
      </c>
      <c r="B32">
        <f>START_YEAR+30</f>
        <v>2055</v>
      </c>
      <c r="C32" s="8">
        <f t="shared" si="4"/>
        <v>0</v>
      </c>
      <c r="D32" s="8">
        <f>SURFACE*RENT_P_SQM_PM_BASE*12*MIN(1,MAX(0,OCC_RATE_BASE+(30-1)*OCC_DELTA))*(1+RENT_GROWTH)^29</f>
        <v>289817.85345653654</v>
      </c>
      <c r="E32" s="8">
        <f>BIZ_REV_BASE*(1+BIZ_GROWTH)^29</f>
        <v>88792.234514870259</v>
      </c>
      <c r="F32" s="8">
        <f t="shared" si="0"/>
        <v>378610.08797140681</v>
      </c>
      <c r="G32" s="8">
        <f>SURFACE*MAINT_P_SQM*(1+MAINT_GROWTH)^29</f>
        <v>71033.787611896216</v>
      </c>
      <c r="H32" s="8">
        <f>STAFF_BASE*(1+STAFF_GROWTH)^29</f>
        <v>106550.68141784432</v>
      </c>
      <c r="I32" s="8">
        <f t="shared" si="1"/>
        <v>177584.46902974055</v>
      </c>
      <c r="J32" s="8">
        <f t="shared" si="2"/>
        <v>201025.61894166627</v>
      </c>
      <c r="K32" s="8">
        <f t="shared" si="5"/>
        <v>80000</v>
      </c>
      <c r="L32" s="8">
        <f t="shared" si="6"/>
        <v>121025.61894166627</v>
      </c>
      <c r="M32" s="8">
        <f>INDEX(Loan!D:D,32)</f>
        <v>0</v>
      </c>
      <c r="N32" s="8">
        <f>INDEX(Loan!E:E,32)</f>
        <v>84818.991616526822</v>
      </c>
      <c r="O32" s="8">
        <f t="shared" si="7"/>
        <v>84818.991616526822</v>
      </c>
      <c r="P32" s="8">
        <v>0</v>
      </c>
      <c r="Q32" s="8">
        <v>0</v>
      </c>
      <c r="R32" s="8">
        <f t="shared" si="3"/>
        <v>116206.62732513945</v>
      </c>
      <c r="S32" s="8">
        <f t="shared" si="8"/>
        <v>116206.62732513945</v>
      </c>
      <c r="T32" s="8">
        <f t="shared" si="9"/>
        <v>909374.80076223053</v>
      </c>
      <c r="U32" s="5">
        <f t="shared" si="10"/>
        <v>2.370054337011203</v>
      </c>
    </row>
  </sheetData>
  <conditionalFormatting sqref="U3:U40">
    <cfRule type="cellIs" dxfId="0" priority="1" operator="lessThan">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E20" sqref="E20"/>
    </sheetView>
  </sheetViews>
  <sheetFormatPr defaultColWidth="8.7109375" defaultRowHeight="15" x14ac:dyDescent="0.25"/>
  <cols>
    <col min="1" max="1" width="36.7109375" customWidth="1"/>
    <col min="2" max="2" width="28.7109375" customWidth="1"/>
  </cols>
  <sheetData>
    <row r="1" spans="1:2" ht="19.149999999999999" customHeight="1" x14ac:dyDescent="0.3">
      <c r="A1" s="1" t="s">
        <v>59</v>
      </c>
    </row>
    <row r="4" spans="1:2" x14ac:dyDescent="0.25">
      <c r="A4" t="s">
        <v>60</v>
      </c>
      <c r="B4">
        <f>Loan!H2</f>
        <v>24</v>
      </c>
    </row>
    <row r="5" spans="1:2" x14ac:dyDescent="0.25">
      <c r="A5" t="s">
        <v>61</v>
      </c>
      <c r="B5">
        <f>'Inputs &amp; Basic KPIs'!E5</f>
        <v>0.35294117647058826</v>
      </c>
    </row>
    <row r="6" spans="1:2" x14ac:dyDescent="0.25">
      <c r="A6" t="s">
        <v>62</v>
      </c>
      <c r="B6">
        <v>1000000000</v>
      </c>
    </row>
    <row r="7" spans="1:2" x14ac:dyDescent="0.25">
      <c r="A7" t="s">
        <v>63</v>
      </c>
      <c r="B7">
        <f>COUNTIF('Cash Flow'!U3:U40,"&lt;1")</f>
        <v>0</v>
      </c>
    </row>
    <row r="8" spans="1:2" x14ac:dyDescent="0.25">
      <c r="A8" t="s">
        <v>64</v>
      </c>
      <c r="B8" s="5">
        <f>NPV(DISC_RATE,'Cash Flow'!S3:INDEX('Cash Flow'!S:S,N_YEARS+2))+'Cash Flow'!S2</f>
        <v>-471527.44647093199</v>
      </c>
    </row>
    <row r="9" spans="1:2" x14ac:dyDescent="0.25">
      <c r="A9" t="s">
        <v>65</v>
      </c>
      <c r="B9" s="9">
        <f>IRR('Cash Flow'!S2:INDEX('Cash Flow'!S:S,N_YEARS+2))</f>
        <v>3.3615120236782703E-2</v>
      </c>
    </row>
    <row r="10" spans="1:2" x14ac:dyDescent="0.25">
      <c r="A10" t="s">
        <v>66</v>
      </c>
      <c r="B10" s="8">
        <f>-('Cash Flow'!P2-'Cash Flow'!Q2-'Cash Flow'!C2)</f>
        <v>-1200000</v>
      </c>
    </row>
    <row r="11" spans="1:2" x14ac:dyDescent="0.25">
      <c r="A11" t="s">
        <v>67</v>
      </c>
      <c r="B11">
        <f>IFERROR(_xlfn.AGGREGATE(15,6,ROW('Cash Flow'!T3:INDEX('Cash Flow'!T:T,N_YEARS+2))/('Cash Flow'!T3:INDEX('Cash Flow'!T:T,N_YEARS+2)&gt;=0),1)-ROW('Cash Flow'!T3)+1,NA())</f>
        <v>22</v>
      </c>
    </row>
    <row r="12" spans="1:2" x14ac:dyDescent="0.25">
      <c r="A12" t="s">
        <v>68</v>
      </c>
      <c r="B12">
        <f>COUNTIF('Cash Flow'!R3:INDEX('Cash Flow'!R:R,N_YEARS+2),"&gt;0")</f>
        <v>30</v>
      </c>
    </row>
    <row r="13" spans="1:2" x14ac:dyDescent="0.25">
      <c r="A13" s="2" t="s">
        <v>69</v>
      </c>
    </row>
    <row r="14" spans="1:2" x14ac:dyDescent="0.25">
      <c r="A14" s="3" t="s">
        <v>70</v>
      </c>
    </row>
    <row r="15" spans="1:2" x14ac:dyDescent="0.25">
      <c r="A15" s="3"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56" sqref="K56"/>
    </sheetView>
  </sheetViews>
  <sheetFormatPr defaultColWidth="8.7109375" defaultRowHeight="15" x14ac:dyDescent="0.25"/>
  <sheetData>
    <row r="1" spans="1:1" x14ac:dyDescent="0.25">
      <c r="A1" t="s">
        <v>0</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README</vt:lpstr>
      <vt:lpstr>Inputs &amp; Basic KPIs</vt:lpstr>
      <vt:lpstr>Loan</vt:lpstr>
      <vt:lpstr>Cash Flow</vt:lpstr>
      <vt:lpstr>KPIs</vt:lpstr>
      <vt:lpstr>Charts</vt:lpstr>
      <vt:lpstr>ADDITIONAL_CAPEX</vt:lpstr>
      <vt:lpstr>BIZ_GROWTH</vt:lpstr>
      <vt:lpstr>BIZ_REV_BASE</vt:lpstr>
      <vt:lpstr>DEPR_YEARS</vt:lpstr>
      <vt:lpstr>DISC_RATE</vt:lpstr>
      <vt:lpstr>GRACE_YEARS</vt:lpstr>
      <vt:lpstr>GRANT_ANNUAL</vt:lpstr>
      <vt:lpstr>GRANT_Y0</vt:lpstr>
      <vt:lpstr>INT_RATE</vt:lpstr>
      <vt:lpstr>LOAN_AMT</vt:lpstr>
      <vt:lpstr>LOAN_TERM</vt:lpstr>
      <vt:lpstr>MAINT_GROWTH</vt:lpstr>
      <vt:lpstr>MAINT_P_SQM</vt:lpstr>
      <vt:lpstr>N_YEARS</vt:lpstr>
      <vt:lpstr>OCC_DELTA</vt:lpstr>
      <vt:lpstr>OCC_RATE_BASE</vt:lpstr>
      <vt:lpstr>RECON_C_P_SQM</vt:lpstr>
      <vt:lpstr>RENT_GROWTH</vt:lpstr>
      <vt:lpstr>RENT_P_SQM_PM_BASE</vt:lpstr>
      <vt:lpstr>STAFF_BASE</vt:lpstr>
      <vt:lpstr>STAFF_GROWTH</vt:lpstr>
      <vt:lpstr>START_YEAR</vt:lpstr>
      <vt:lpstr>SURFACE</vt:lpstr>
      <vt:lpstr>TAX_RATE</vt:lpstr>
      <vt:lpstr>VALUE_P_SQM</vt:lpstr>
    </vt:vector>
  </TitlesOfParts>
  <Manager/>
  <Company>Cooperative for ethical financing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Vacant Building Reconstruction Calculator - Simple</dc:title>
  <dc:subject/>
  <dc:creator>Goran Jeras</dc:creator>
  <cp:keywords/>
  <dc:description/>
  <cp:lastModifiedBy>Rok Ramšak</cp:lastModifiedBy>
  <dcterms:created xsi:type="dcterms:W3CDTF">2025-10-01T21:09:08Z</dcterms:created>
  <dcterms:modified xsi:type="dcterms:W3CDTF">2025-12-03T14:03:48Z</dcterms:modified>
  <cp:category/>
</cp:coreProperties>
</file>